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калькулятор" sheetId="1" r:id="rId1"/>
  </sheets>
  <definedNames>
    <definedName name="avans" localSheetId="0">'калькулятор'!$H$3</definedName>
    <definedName name="avans2">#REF!</definedName>
    <definedName name="data" localSheetId="0">'калькулятор'!$H$7</definedName>
    <definedName name="data2">#REF!</definedName>
    <definedName name="PROC" localSheetId="0">'калькулятор'!$H$6</definedName>
    <definedName name="proc2">#REF!</definedName>
    <definedName name="stoimost" localSheetId="0">'калькулятор'!$H$2</definedName>
    <definedName name="stoimost2">#REF!</definedName>
    <definedName name="strok" localSheetId="0">'калькулятор'!$H$5</definedName>
    <definedName name="strok2">#REF!</definedName>
    <definedName name="sumkred" localSheetId="0">'калькулятор'!$H$4</definedName>
    <definedName name="sumkred2">#REF!</definedName>
    <definedName name="sumproc" localSheetId="0">'калькулятор'!$K$33</definedName>
    <definedName name="sumproplat" localSheetId="0">'калькулятор'!$H$8</definedName>
    <definedName name="sumproplat2">#REF!</definedName>
    <definedName name="Z_61A07DFC_D147_11D6_B93C_0010B563CE7A_.wvu.Cols" localSheetId="0" hidden="1">'калькулятор'!$P:$IV</definedName>
    <definedName name="Z_61A07DFC_D147_11D6_B93C_0010B563CE7A_.wvu.PrintArea" localSheetId="0" hidden="1">'калькулятор'!$A$1:$I$58</definedName>
    <definedName name="Z_61A07DFC_D147_11D6_B93C_0010B563CE7A_.wvu.Rows" localSheetId="0" hidden="1">'калькулятор'!$62:$65536</definedName>
    <definedName name="_xlnm.Print_Area" localSheetId="0">'калькулятор'!$A$1:$O$706</definedName>
  </definedNames>
  <calcPr fullCalcOnLoad="1"/>
</workbook>
</file>

<file path=xl/sharedStrings.xml><?xml version="1.0" encoding="utf-8"?>
<sst xmlns="http://schemas.openxmlformats.org/spreadsheetml/2006/main" count="89" uniqueCount="56">
  <si>
    <t>Есть</t>
  </si>
  <si>
    <t>Нет</t>
  </si>
  <si>
    <t>Срок, месяцев</t>
  </si>
  <si>
    <t>Процентная ставка, %</t>
  </si>
  <si>
    <t>Курс ком.</t>
  </si>
  <si>
    <t>Одноразовая комиссия за открытие ссудного счёта, %</t>
  </si>
  <si>
    <t>Курс НБУ</t>
  </si>
  <si>
    <t>Ежемесячная комиссия за обслуживание ссудного счёта</t>
  </si>
  <si>
    <t>Месяц</t>
  </si>
  <si>
    <t>1 - й год</t>
  </si>
  <si>
    <t>2 - й год</t>
  </si>
  <si>
    <t>3 - й год</t>
  </si>
  <si>
    <t>Остаток долга по телу кредита</t>
  </si>
  <si>
    <t>Процент к уплате</t>
  </si>
  <si>
    <t>Всего:</t>
  </si>
  <si>
    <t>Дополнительные платежи:</t>
  </si>
  <si>
    <t>Схема погашения кредита</t>
  </si>
  <si>
    <t>Класика</t>
  </si>
  <si>
    <t>Ануитет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</si>
  <si>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</si>
  <si>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</si>
  <si>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</si>
  <si>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</si>
  <si>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</si>
  <si>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</si>
  <si>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</si>
  <si>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</si>
  <si>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</si>
  <si>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</si>
  <si>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</si>
  <si>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</si>
  <si>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Общий платеж</t>
  </si>
  <si>
    <t>Удорожание предмета залога с учетом процентов по кредиту, %</t>
  </si>
  <si>
    <t>Условия кредитования</t>
  </si>
  <si>
    <t>Ліцензія НБУ №123 від 06.10.2011р.</t>
  </si>
  <si>
    <t>Размер компенсации, грн.</t>
  </si>
  <si>
    <t>Итого, минимально необходимая сумма для оформления кредита</t>
  </si>
  <si>
    <t>РАСЧЕТ БЕЗ УЧЕТА КОМПЕНСАЦИИ</t>
  </si>
  <si>
    <t>РАСЧЕТ С УЧЕТОМ КОМПЕНСАЦИИ</t>
  </si>
  <si>
    <t xml:space="preserve">Сумма кредита с учетом компенсации, грн. </t>
  </si>
  <si>
    <t>Месячный платеж по кредиту после компенсации, грн.</t>
  </si>
  <si>
    <t>Перелік необхідних документів</t>
  </si>
  <si>
    <t>паспорт громадянина України</t>
  </si>
  <si>
    <t>довідка про присвоєння реєстраційного номеру облікової картки платника податків</t>
  </si>
  <si>
    <t>Документ, який підтверджує фінансовий стан Позичальника</t>
  </si>
  <si>
    <t>Якщо Позичальник - фізична особа</t>
  </si>
  <si>
    <t>Якщо Позичальник - СПД</t>
  </si>
  <si>
    <t xml:space="preserve">• Копія свідоцтва про державну реєстрацію та/або виписка з Єдиного державного реєстру юридичних осіб та фізичних осіб-підприємців.
• Квартальні податкові декларації підприємця за 2 останні звітні періоди (якщо підприємець звітує щоквартально) або податкова декларація за повний рік (якщо кредитна заявка подається у перший квартал року).
• Податкова декларація підприємця за останній рік (якщо підприємець звітує раз на рік). 
</t>
  </si>
  <si>
    <t>Довідка про доходи за 6 останніх місяців, з помісячною розбивкою (у разі, якщо Позичальник працює менше 6 міс, за фактично відпрацьований час) або довідка про отримання пенсії</t>
  </si>
  <si>
    <t>Рахунок-фактура від продавця обладнання, договір на придбання Обладнання або інші визначені законодавством документи на підставі яких придбавається Обладнання.</t>
  </si>
  <si>
    <t xml:space="preserve">Правовстановлюючі документи на нерухомість, які підтверджують, що у власності Позичальника або його найближчих родичів є об’єкт нерухомості (житловий будинок або квартира) (наприклад договір купівлі-продажу, договір міни, договір дарування та інші визначені законодавством України)  </t>
  </si>
  <si>
    <t>Для більш детальної інформації звертайтесь за телефонами або відвідайте сайт Банку</t>
  </si>
  <si>
    <t>http://www.ukrgasbank.com/ukr/personal/credits/teplao/</t>
  </si>
  <si>
    <t>0472-339805</t>
  </si>
  <si>
    <t>096-9672596 Михайло</t>
  </si>
  <si>
    <t>097-2981565 Олександр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</si>
</sst>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"/>
    <numFmt numFmtId="189" formatCode="#,##0_р_."/>
    <numFmt numFmtId="190" formatCode="mmmm\ yy"/>
    <numFmt numFmtId="191" formatCode="0.0"/>
    <numFmt numFmtId="192" formatCode="0.0%"/>
    <numFmt numFmtId="193" formatCode="#,##0.0"/>
    <numFmt numFmtId="194" formatCode="0.0000"/>
    <numFmt numFmtId="195" formatCode="0.000000"/>
    <numFmt numFmtId="196" formatCode="#,##0.00\ &quot;грн.&quot;"/>
    <numFmt numFmtId="197" formatCode="[$$-409]#,##0.00"/>
    <numFmt numFmtId="198" formatCode="#,##0.00\ _г_р_н_."/>
    <numFmt numFmtId="199" formatCode="0.000%"/>
    <numFmt numFmtId="200" formatCode="#,##0.000"/>
    <numFmt numFmtId="201" formatCode="0.000"/>
    <numFmt numFmtId="202" formatCode="[$-FC19]d\ mmmm\ yyyy\ &quot;г.&quot;"/>
    <numFmt numFmtId="203" formatCode="[$-422]d\ mmmm\ yyyy&quot; р.&quot;"/>
    <numFmt numFmtId="204" formatCode="0.00000000"/>
    <numFmt numFmtId="205" formatCode="0.0000000"/>
    <numFmt numFmtId="206" formatCode="0.00000"/>
    <numFmt numFmtId="207" formatCode="0.000000000"/>
    <numFmt numFmtId="208" formatCode="0.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mmm/yyyy"/>
    <numFmt numFmtId="213" formatCode="#,##0.0000"/>
    <numFmt numFmtId="214" formatCode="#,##0.00000"/>
    <numFmt numFmtId="215" formatCode="#,##0.000000"/>
    <numFmt numFmtId="216" formatCode="#,##0.0000000"/>
    <numFmt numFmtId="217" formatCode="#,##0.00000000"/>
    <numFmt numFmtId="218" formatCode="#,##0.000000000"/>
    <numFmt numFmtId="219" formatCode="#,##0.0000000000"/>
    <numFmt numFmtId="220" formatCode="#,##0.00000000000"/>
    <numFmt numFmtId="221" formatCode="#,##0.000000000000"/>
    <numFmt numFmtId="222" formatCode="#,##0.0000000000000"/>
    <numFmt numFmtId="223" formatCode="#,##0.00000000000000"/>
    <numFmt numFmtId="224" formatCode="#,##0.000000000000000"/>
    <numFmt numFmtId="225" formatCode="[$€-2]\ ###,000_);[Red]\([$€-2]\ ###,000\)"/>
  </numFmts>
  <fonts count="8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color indexed="8"/>
      <name val="Arial Cyr"/>
      <family val="2"/>
    </font>
    <font>
      <sz val="12"/>
      <name val="Garamond"/>
      <family val="1"/>
    </font>
    <font>
      <sz val="10"/>
      <color indexed="12"/>
      <name val="Arial Cyr"/>
      <family val="2"/>
    </font>
    <font>
      <b/>
      <i/>
      <sz val="12"/>
      <name val="Garamond"/>
      <family val="1"/>
    </font>
    <font>
      <u val="single"/>
      <sz val="9"/>
      <color indexed="12"/>
      <name val="Arial Cyr"/>
      <family val="2"/>
    </font>
    <font>
      <u val="single"/>
      <sz val="10"/>
      <name val="Arial Cyr"/>
      <family val="2"/>
    </font>
    <font>
      <b/>
      <sz val="9"/>
      <name val="Courier New"/>
      <family val="3"/>
    </font>
    <font>
      <sz val="12"/>
      <name val="Comic Sans MS"/>
      <family val="4"/>
    </font>
    <font>
      <u val="single"/>
      <sz val="9"/>
      <name val="Arial Cyr"/>
      <family val="2"/>
    </font>
    <font>
      <u val="single"/>
      <sz val="9"/>
      <name val="Garamond"/>
      <family val="1"/>
    </font>
    <font>
      <b/>
      <sz val="10"/>
      <name val="Garamond"/>
      <family val="1"/>
    </font>
    <font>
      <b/>
      <sz val="10"/>
      <name val="Arial Cyr"/>
      <family val="2"/>
    </font>
    <font>
      <b/>
      <sz val="9"/>
      <name val="Garamond"/>
      <family val="1"/>
    </font>
    <font>
      <sz val="12"/>
      <color indexed="10"/>
      <name val="Garamond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u val="single"/>
      <sz val="9"/>
      <name val="Courier New"/>
      <family val="3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9"/>
      <name val="Courier New"/>
      <family val="3"/>
    </font>
    <font>
      <b/>
      <u val="single"/>
      <sz val="14"/>
      <name val="Courier New"/>
      <family val="3"/>
    </font>
    <font>
      <sz val="11"/>
      <name val="Garamond"/>
      <family val="1"/>
    </font>
    <font>
      <b/>
      <i/>
      <sz val="10"/>
      <name val="Arial Cyr"/>
      <family val="2"/>
    </font>
    <font>
      <b/>
      <i/>
      <sz val="12"/>
      <name val="Arial Cyr"/>
      <family val="2"/>
    </font>
    <font>
      <i/>
      <sz val="9"/>
      <name val="Garamond"/>
      <family val="1"/>
    </font>
    <font>
      <sz val="10"/>
      <color indexed="48"/>
      <name val="Arial Cyr"/>
      <family val="0"/>
    </font>
    <font>
      <b/>
      <u val="single"/>
      <sz val="14"/>
      <name val="Garamond"/>
      <family val="1"/>
    </font>
    <font>
      <sz val="8"/>
      <name val="Tahoma"/>
      <family val="2"/>
    </font>
    <font>
      <u val="single"/>
      <sz val="9"/>
      <name val="Courier New"/>
      <family val="3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Segoe UI"/>
      <family val="2"/>
    </font>
    <font>
      <b/>
      <u val="single"/>
      <sz val="14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Segoe UI"/>
      <family val="2"/>
    </font>
    <font>
      <b/>
      <sz val="12"/>
      <color rgb="FFFF0000"/>
      <name val="Garamond"/>
      <family val="1"/>
    </font>
    <font>
      <b/>
      <u val="single"/>
      <sz val="14"/>
      <color rgb="FFFF0000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188" fontId="21" fillId="0" borderId="11" xfId="0" applyNumberFormat="1" applyFont="1" applyFill="1" applyBorder="1" applyAlignment="1" applyProtection="1">
      <alignment horizontal="left" shrinkToFit="1"/>
      <protection hidden="1"/>
    </xf>
    <xf numFmtId="4" fontId="21" fillId="0" borderId="12" xfId="0" applyNumberFormat="1" applyFont="1" applyFill="1" applyBorder="1" applyAlignment="1" applyProtection="1">
      <alignment shrinkToFit="1"/>
      <protection hidden="1"/>
    </xf>
    <xf numFmtId="4" fontId="21" fillId="0" borderId="13" xfId="0" applyNumberFormat="1" applyFont="1" applyFill="1" applyBorder="1" applyAlignment="1" applyProtection="1">
      <alignment shrinkToFit="1"/>
      <protection hidden="1"/>
    </xf>
    <xf numFmtId="4" fontId="21" fillId="0" borderId="14" xfId="0" applyNumberFormat="1" applyFont="1" applyFill="1" applyBorder="1" applyAlignment="1" applyProtection="1">
      <alignment shrinkToFit="1"/>
      <protection hidden="1"/>
    </xf>
    <xf numFmtId="0" fontId="19" fillId="0" borderId="15" xfId="0" applyFont="1" applyFill="1" applyBorder="1" applyAlignment="1" applyProtection="1">
      <alignment vertical="top"/>
      <protection hidden="1"/>
    </xf>
    <xf numFmtId="4" fontId="21" fillId="0" borderId="16" xfId="0" applyNumberFormat="1" applyFont="1" applyFill="1" applyBorder="1" applyAlignment="1" applyProtection="1">
      <alignment/>
      <protection hidden="1"/>
    </xf>
    <xf numFmtId="4" fontId="21" fillId="0" borderId="17" xfId="0" applyNumberFormat="1" applyFont="1" applyFill="1" applyBorder="1" applyAlignment="1" applyProtection="1">
      <alignment/>
      <protection hidden="1"/>
    </xf>
    <xf numFmtId="4" fontId="21" fillId="0" borderId="0" xfId="0" applyNumberFormat="1" applyFont="1" applyFill="1" applyBorder="1" applyAlignment="1" applyProtection="1">
      <alignment/>
      <protection hidden="1"/>
    </xf>
    <xf numFmtId="4" fontId="21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" fontId="27" fillId="0" borderId="0" xfId="0" applyNumberFormat="1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20" fillId="0" borderId="18" xfId="0" applyFont="1" applyFill="1" applyBorder="1" applyAlignment="1" applyProtection="1">
      <alignment horizontal="center" vertical="center" wrapText="1" shrinkToFit="1"/>
      <protection hidden="1"/>
    </xf>
    <xf numFmtId="0" fontId="20" fillId="0" borderId="19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42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16" fillId="0" borderId="0" xfId="0" applyNumberFormat="1" applyFont="1" applyFill="1" applyBorder="1" applyAlignment="1" applyProtection="1">
      <alignment horizontal="right"/>
      <protection hidden="1"/>
    </xf>
    <xf numFmtId="0" fontId="32" fillId="0" borderId="19" xfId="0" applyFont="1" applyFill="1" applyBorder="1" applyAlignment="1" applyProtection="1">
      <alignment horizontal="center" vertical="center" wrapText="1" shrinkToFit="1"/>
      <protection hidden="1"/>
    </xf>
    <xf numFmtId="4" fontId="33" fillId="0" borderId="20" xfId="0" applyNumberFormat="1" applyFont="1" applyFill="1" applyBorder="1" applyAlignment="1" applyProtection="1">
      <alignment shrinkToFit="1"/>
      <protection hidden="1"/>
    </xf>
    <xf numFmtId="4" fontId="33" fillId="0" borderId="17" xfId="0" applyNumberFormat="1" applyFont="1" applyFill="1" applyBorder="1" applyAlignment="1" applyProtection="1">
      <alignment/>
      <protection hidden="1"/>
    </xf>
    <xf numFmtId="4" fontId="33" fillId="0" borderId="14" xfId="0" applyNumberFormat="1" applyFont="1" applyFill="1" applyBorder="1" applyAlignment="1" applyProtection="1">
      <alignment shrinkToFit="1"/>
      <protection hidden="1"/>
    </xf>
    <xf numFmtId="4" fontId="4" fillId="34" borderId="0" xfId="0" applyNumberFormat="1" applyFont="1" applyFill="1" applyBorder="1" applyAlignment="1" applyProtection="1">
      <alignment horizontal="right"/>
      <protection hidden="1"/>
    </xf>
    <xf numFmtId="0" fontId="1" fillId="0" borderId="0" xfId="42" applyFill="1" applyAlignment="1" applyProtection="1">
      <alignment horizontal="center"/>
      <protection hidden="1"/>
    </xf>
    <xf numFmtId="0" fontId="1" fillId="0" borderId="0" xfId="42" applyFill="1" applyAlignment="1" applyProtection="1">
      <alignment horizontal="center" vertical="center"/>
      <protection hidden="1"/>
    </xf>
    <xf numFmtId="195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1" fontId="4" fillId="34" borderId="0" xfId="0" applyNumberFormat="1" applyFont="1" applyFill="1" applyBorder="1" applyAlignment="1" applyProtection="1" quotePrefix="1">
      <alignment horizontal="right"/>
      <protection hidden="1"/>
    </xf>
    <xf numFmtId="2" fontId="4" fillId="34" borderId="0" xfId="0" applyNumberFormat="1" applyFont="1" applyFill="1" applyBorder="1" applyAlignment="1" applyProtection="1">
      <alignment horizontal="right"/>
      <protection hidden="1"/>
    </xf>
    <xf numFmtId="0" fontId="11" fillId="0" borderId="0" xfId="42" applyFont="1" applyBorder="1" applyAlignment="1" applyProtection="1">
      <alignment horizontal="left" vertical="center" indent="1"/>
      <protection hidden="1"/>
    </xf>
    <xf numFmtId="0" fontId="1" fillId="0" borderId="0" xfId="42" applyBorder="1" applyAlignment="1" applyProtection="1">
      <alignment horizontal="center" vertical="center"/>
      <protection hidden="1"/>
    </xf>
    <xf numFmtId="0" fontId="12" fillId="0" borderId="0" xfId="42" applyFont="1" applyBorder="1" applyAlignment="1" applyProtection="1">
      <alignment horizontal="right" vertical="center"/>
      <protection hidden="1"/>
    </xf>
    <xf numFmtId="0" fontId="13" fillId="0" borderId="0" xfId="42" applyFont="1" applyBorder="1" applyAlignment="1" applyProtection="1">
      <alignment horizontal="right" vertical="center"/>
      <protection hidden="1"/>
    </xf>
    <xf numFmtId="0" fontId="14" fillId="0" borderId="21" xfId="0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94" fontId="15" fillId="0" borderId="0" xfId="0" applyNumberFormat="1" applyFont="1" applyFill="1" applyAlignment="1" applyProtection="1">
      <alignment/>
      <protection hidden="1"/>
    </xf>
    <xf numFmtId="195" fontId="5" fillId="0" borderId="21" xfId="0" applyNumberFormat="1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42" applyAlignment="1" applyProtection="1">
      <alignment horizontal="left"/>
      <protection hidden="1"/>
    </xf>
    <xf numFmtId="4" fontId="0" fillId="0" borderId="0" xfId="0" applyNumberFormat="1" applyFont="1" applyAlignment="1" applyProtection="1">
      <alignment horizontal="center" wrapText="1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9" fillId="0" borderId="0" xfId="0" applyFont="1" applyAlignment="1" applyProtection="1">
      <alignment horizontal="centerContinuous" vertical="top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center" vertical="center" wrapText="1" shrinkToFit="1"/>
      <protection hidden="1"/>
    </xf>
    <xf numFmtId="0" fontId="32" fillId="0" borderId="0" xfId="0" applyFont="1" applyFill="1" applyBorder="1" applyAlignment="1" applyProtection="1">
      <alignment horizontal="center" vertical="center" wrapText="1" shrinkToFit="1"/>
      <protection hidden="1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33" fillId="0" borderId="0" xfId="0" applyNumberFormat="1" applyFont="1" applyFill="1" applyBorder="1" applyAlignment="1" applyProtection="1">
      <alignment shrinkToFit="1"/>
      <protection hidden="1"/>
    </xf>
    <xf numFmtId="4" fontId="33" fillId="0" borderId="0" xfId="0" applyNumberFormat="1" applyFont="1" applyFill="1" applyBorder="1" applyAlignment="1" applyProtection="1">
      <alignment/>
      <protection hidden="1"/>
    </xf>
    <xf numFmtId="4" fontId="33" fillId="0" borderId="22" xfId="0" applyNumberFormat="1" applyFont="1" applyFill="1" applyBorder="1" applyAlignment="1" applyProtection="1">
      <alignment shrinkToFit="1"/>
      <protection hidden="1"/>
    </xf>
    <xf numFmtId="10" fontId="21" fillId="0" borderId="0" xfId="0" applyNumberFormat="1" applyFont="1" applyFill="1" applyBorder="1" applyAlignment="1" applyProtection="1">
      <alignment/>
      <protection hidden="1"/>
    </xf>
    <xf numFmtId="4" fontId="21" fillId="0" borderId="23" xfId="0" applyNumberFormat="1" applyFont="1" applyFill="1" applyBorder="1" applyAlignment="1" applyProtection="1">
      <alignment/>
      <protection hidden="1"/>
    </xf>
    <xf numFmtId="10" fontId="21" fillId="0" borderId="24" xfId="0" applyNumberFormat="1" applyFont="1" applyFill="1" applyBorder="1" applyAlignment="1" applyProtection="1">
      <alignment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24" fillId="0" borderId="0" xfId="0" applyFont="1" applyBorder="1" applyAlignment="1" applyProtection="1">
      <alignment/>
      <protection hidden="1"/>
    </xf>
    <xf numFmtId="2" fontId="24" fillId="0" borderId="23" xfId="0" applyNumberFormat="1" applyFont="1" applyBorder="1" applyAlignment="1" applyProtection="1">
      <alignment wrapText="1"/>
      <protection hidden="1"/>
    </xf>
    <xf numFmtId="2" fontId="24" fillId="0" borderId="24" xfId="0" applyNumberFormat="1" applyFont="1" applyBorder="1" applyAlignment="1" applyProtection="1">
      <alignment/>
      <protection hidden="1"/>
    </xf>
    <xf numFmtId="4" fontId="26" fillId="35" borderId="0" xfId="0" applyNumberFormat="1" applyFont="1" applyFill="1" applyBorder="1" applyAlignment="1" applyProtection="1">
      <alignment horizontal="center" vertical="center"/>
      <protection hidden="1"/>
    </xf>
    <xf numFmtId="2" fontId="25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 applyProtection="1">
      <alignment horizontal="left" shrinkToFit="1"/>
      <protection hidden="1"/>
    </xf>
    <xf numFmtId="4" fontId="35" fillId="0" borderId="0" xfId="0" applyNumberFormat="1" applyFont="1" applyFill="1" applyBorder="1" applyAlignment="1" applyProtection="1">
      <alignment horizontal="right"/>
      <protection hidden="1"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36" fillId="0" borderId="26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37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vertical="top" wrapText="1"/>
      <protection hidden="1"/>
    </xf>
    <xf numFmtId="0" fontId="39" fillId="0" borderId="0" xfId="0" applyFont="1" applyAlignment="1" applyProtection="1">
      <alignment horizontal="centerContinuous" vertical="top" wrapText="1"/>
      <protection hidden="1"/>
    </xf>
    <xf numFmtId="0" fontId="40" fillId="0" borderId="0" xfId="0" applyFont="1" applyAlignment="1" applyProtection="1">
      <alignment horizontal="centerContinuous" vertical="top" wrapText="1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79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shrinkToFit="1"/>
      <protection hidden="1"/>
    </xf>
    <xf numFmtId="10" fontId="6" fillId="37" borderId="0" xfId="0" applyNumberFormat="1" applyFont="1" applyFill="1" applyBorder="1" applyAlignment="1" applyProtection="1">
      <alignment horizontal="left"/>
      <protection hidden="1"/>
    </xf>
    <xf numFmtId="10" fontId="6" fillId="0" borderId="0" xfId="0" applyNumberFormat="1" applyFont="1" applyFill="1" applyBorder="1" applyAlignment="1" applyProtection="1">
      <alignment horizontal="left"/>
      <protection hidden="1"/>
    </xf>
    <xf numFmtId="0" fontId="42" fillId="0" borderId="27" xfId="0" applyFont="1" applyBorder="1" applyAlignment="1" applyProtection="1">
      <alignment horizontal="left" vertical="top" wrapText="1"/>
      <protection hidden="1"/>
    </xf>
    <xf numFmtId="0" fontId="42" fillId="0" borderId="28" xfId="0" applyFont="1" applyBorder="1" applyAlignment="1" applyProtection="1">
      <alignment horizontal="left" vertical="top" wrapText="1"/>
      <protection hidden="1"/>
    </xf>
    <xf numFmtId="0" fontId="42" fillId="0" borderId="29" xfId="0" applyFont="1" applyBorder="1" applyAlignment="1" applyProtection="1">
      <alignment horizontal="left" vertical="top" wrapText="1"/>
      <protection hidden="1"/>
    </xf>
    <xf numFmtId="0" fontId="42" fillId="0" borderId="30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42" fillId="0" borderId="31" xfId="0" applyFont="1" applyBorder="1" applyAlignment="1" applyProtection="1">
      <alignment horizontal="left" vertical="top" wrapText="1"/>
      <protection hidden="1"/>
    </xf>
    <xf numFmtId="0" fontId="42" fillId="0" borderId="32" xfId="0" applyFont="1" applyBorder="1" applyAlignment="1" applyProtection="1">
      <alignment horizontal="left" vertical="top" wrapText="1"/>
      <protection hidden="1"/>
    </xf>
    <xf numFmtId="0" fontId="42" fillId="0" borderId="33" xfId="0" applyFont="1" applyBorder="1" applyAlignment="1" applyProtection="1">
      <alignment horizontal="left" vertical="top" wrapText="1"/>
      <protection hidden="1"/>
    </xf>
    <xf numFmtId="0" fontId="42" fillId="0" borderId="34" xfId="0" applyFont="1" applyBorder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top" wrapText="1"/>
      <protection hidden="1"/>
    </xf>
    <xf numFmtId="4" fontId="4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37" fillId="0" borderId="33" xfId="0" applyFont="1" applyBorder="1" applyAlignment="1" applyProtection="1">
      <alignment horizontal="left" vertical="center" wrapText="1"/>
      <protection hidden="1"/>
    </xf>
    <xf numFmtId="0" fontId="37" fillId="0" borderId="21" xfId="0" applyFont="1" applyBorder="1" applyAlignment="1" applyProtection="1">
      <alignment horizontal="center" vertical="top" wrapText="1"/>
      <protection hidden="1"/>
    </xf>
    <xf numFmtId="0" fontId="42" fillId="0" borderId="21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2" fontId="4" fillId="38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right"/>
      <protection hidden="1" locked="0"/>
    </xf>
    <xf numFmtId="0" fontId="19" fillId="0" borderId="35" xfId="0" applyFont="1" applyFill="1" applyBorder="1" applyAlignment="1" applyProtection="1">
      <alignment horizontal="center" vertical="center" wrapText="1"/>
      <protection hidden="1"/>
    </xf>
    <xf numFmtId="0" fontId="19" fillId="0" borderId="36" xfId="0" applyFont="1" applyFill="1" applyBorder="1" applyAlignment="1" applyProtection="1">
      <alignment horizontal="center" vertical="center" wrapText="1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left" shrinkToFit="1"/>
      <protection hidden="1"/>
    </xf>
    <xf numFmtId="4" fontId="35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42" applyFont="1" applyFill="1" applyBorder="1" applyAlignment="1" applyProtection="1">
      <alignment horizontal="center"/>
      <protection hidden="1"/>
    </xf>
    <xf numFmtId="1" fontId="4" fillId="38" borderId="0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25" fillId="36" borderId="38" xfId="0" applyFont="1" applyFill="1" applyBorder="1" applyAlignment="1" applyProtection="1">
      <alignment horizontal="center" vertical="center" wrapText="1"/>
      <protection hidden="1"/>
    </xf>
    <xf numFmtId="0" fontId="25" fillId="36" borderId="39" xfId="0" applyFont="1" applyFill="1" applyBorder="1" applyAlignment="1" applyProtection="1">
      <alignment horizontal="center" vertical="center" wrapText="1"/>
      <protection hidden="1"/>
    </xf>
    <xf numFmtId="0" fontId="25" fillId="36" borderId="4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wrapText="1"/>
      <protection hidden="1"/>
    </xf>
    <xf numFmtId="0" fontId="4" fillId="0" borderId="39" xfId="0" applyFont="1" applyFill="1" applyBorder="1" applyAlignment="1" applyProtection="1">
      <alignment horizontal="center" wrapText="1"/>
      <protection hidden="1"/>
    </xf>
    <xf numFmtId="0" fontId="4" fillId="0" borderId="42" xfId="0" applyFont="1" applyFill="1" applyBorder="1" applyAlignment="1" applyProtection="1">
      <alignment horizontal="center" wrapTex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7" fillId="0" borderId="0" xfId="42" applyFont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2" fontId="4" fillId="38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left"/>
      <protection hidden="1"/>
    </xf>
    <xf numFmtId="4" fontId="4" fillId="38" borderId="0" xfId="0" applyNumberFormat="1" applyFont="1" applyFill="1" applyBorder="1" applyAlignment="1" applyProtection="1">
      <alignment horizontal="right"/>
      <protection hidden="1" locked="0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194" fontId="15" fillId="0" borderId="0" xfId="0" applyNumberFormat="1" applyFont="1" applyFill="1" applyAlignment="1" applyProtection="1">
      <alignment horizontal="center"/>
      <protection hidden="1"/>
    </xf>
    <xf numFmtId="4" fontId="26" fillId="35" borderId="0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right"/>
      <protection hidden="1" locked="0"/>
    </xf>
    <xf numFmtId="4" fontId="21" fillId="0" borderId="0" xfId="0" applyNumberFormat="1" applyFont="1" applyFill="1" applyBorder="1" applyAlignment="1" applyProtection="1">
      <alignment horizontal="center"/>
      <protection hidden="1"/>
    </xf>
    <xf numFmtId="0" fontId="80" fillId="0" borderId="35" xfId="0" applyFont="1" applyFill="1" applyBorder="1" applyAlignment="1" applyProtection="1">
      <alignment horizontal="center" shrinkToFit="1"/>
      <protection hidden="1"/>
    </xf>
    <xf numFmtId="0" fontId="80" fillId="0" borderId="36" xfId="0" applyFont="1" applyFill="1" applyBorder="1" applyAlignment="1" applyProtection="1">
      <alignment horizontal="center" shrinkToFit="1"/>
      <protection hidden="1"/>
    </xf>
    <xf numFmtId="0" fontId="80" fillId="0" borderId="37" xfId="0" applyFont="1" applyFill="1" applyBorder="1" applyAlignment="1" applyProtection="1">
      <alignment horizontal="center" shrinkToFit="1"/>
      <protection hidden="1"/>
    </xf>
    <xf numFmtId="0" fontId="18" fillId="0" borderId="46" xfId="0" applyFont="1" applyFill="1" applyBorder="1" applyAlignment="1" applyProtection="1">
      <alignment horizontal="center" vertical="center" textRotation="45"/>
      <protection hidden="1"/>
    </xf>
    <xf numFmtId="0" fontId="18" fillId="0" borderId="47" xfId="0" applyFont="1" applyFill="1" applyBorder="1" applyAlignment="1" applyProtection="1">
      <alignment horizontal="center" vertical="center" textRotation="45"/>
      <protection hidden="1"/>
    </xf>
    <xf numFmtId="0" fontId="24" fillId="0" borderId="41" xfId="0" applyFont="1" applyBorder="1" applyAlignment="1" applyProtection="1">
      <alignment horizontal="center" wrapText="1"/>
      <protection hidden="1"/>
    </xf>
    <xf numFmtId="0" fontId="24" fillId="0" borderId="39" xfId="0" applyFont="1" applyBorder="1" applyAlignment="1" applyProtection="1">
      <alignment horizontal="center" wrapText="1"/>
      <protection hidden="1"/>
    </xf>
    <xf numFmtId="0" fontId="24" fillId="0" borderId="42" xfId="0" applyFont="1" applyBorder="1" applyAlignment="1" applyProtection="1">
      <alignment horizontal="center" wrapText="1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/>
      <protection hidden="1"/>
    </xf>
    <xf numFmtId="0" fontId="81" fillId="0" borderId="26" xfId="0" applyFont="1" applyFill="1" applyBorder="1" applyAlignment="1" applyProtection="1">
      <alignment horizontal="center" vertical="center" wrapText="1"/>
      <protection hidden="1"/>
    </xf>
    <xf numFmtId="4" fontId="80" fillId="0" borderId="0" xfId="0" applyNumberFormat="1" applyFont="1" applyFill="1" applyBorder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57150</xdr:rowOff>
    </xdr:from>
    <xdr:to>
      <xdr:col>0</xdr:col>
      <xdr:colOff>0</xdr:colOff>
      <xdr:row>67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2</xdr:row>
      <xdr:rowOff>19050</xdr:rowOff>
    </xdr:from>
    <xdr:to>
      <xdr:col>15</xdr:col>
      <xdr:colOff>819150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7286625" y="447675"/>
          <a:ext cx="403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76200</xdr:rowOff>
    </xdr:from>
    <xdr:to>
      <xdr:col>10</xdr:col>
      <xdr:colOff>114300</xdr:colOff>
      <xdr:row>5</xdr:row>
      <xdr:rowOff>161925</xdr:rowOff>
    </xdr:to>
    <xdr:sp>
      <xdr:nvSpPr>
        <xdr:cNvPr id="3" name="Line 4"/>
        <xdr:cNvSpPr>
          <a:spLocks/>
        </xdr:cNvSpPr>
      </xdr:nvSpPr>
      <xdr:spPr>
        <a:xfrm>
          <a:off x="7038975" y="504825"/>
          <a:ext cx="0" cy="781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76200</xdr:rowOff>
    </xdr:from>
    <xdr:to>
      <xdr:col>10</xdr:col>
      <xdr:colOff>114300</xdr:colOff>
      <xdr:row>5</xdr:row>
      <xdr:rowOff>161925</xdr:rowOff>
    </xdr:to>
    <xdr:sp>
      <xdr:nvSpPr>
        <xdr:cNvPr id="4" name="Line 6"/>
        <xdr:cNvSpPr>
          <a:spLocks/>
        </xdr:cNvSpPr>
      </xdr:nvSpPr>
      <xdr:spPr>
        <a:xfrm>
          <a:off x="7038975" y="504825"/>
          <a:ext cx="0" cy="781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28575</xdr:colOff>
      <xdr:row>0</xdr:row>
      <xdr:rowOff>9525</xdr:rowOff>
    </xdr:from>
    <xdr:to>
      <xdr:col>16</xdr:col>
      <xdr:colOff>457200</xdr:colOff>
      <xdr:row>5</xdr:row>
      <xdr:rowOff>0</xdr:rowOff>
    </xdr:to>
    <xdr:grpSp>
      <xdr:nvGrpSpPr>
        <xdr:cNvPr id="5" name="Group 7"/>
        <xdr:cNvGrpSpPr>
          <a:grpSpLocks/>
        </xdr:cNvGrpSpPr>
      </xdr:nvGrpSpPr>
      <xdr:grpSpPr>
        <a:xfrm>
          <a:off x="10534650" y="9525"/>
          <a:ext cx="1247775" cy="1114425"/>
          <a:chOff x="777" y="17"/>
          <a:chExt cx="116" cy="99"/>
        </a:xfrm>
        <a:solidFill>
          <a:srgbClr val="FFFFFF"/>
        </a:solidFill>
      </xdr:grpSpPr>
    </xdr:grpSp>
    <xdr:clientData/>
  </xdr:twoCellAnchor>
  <xdr:twoCellAnchor>
    <xdr:from>
      <xdr:col>9</xdr:col>
      <xdr:colOff>104775</xdr:colOff>
      <xdr:row>0</xdr:row>
      <xdr:rowOff>66675</xdr:rowOff>
    </xdr:from>
    <xdr:to>
      <xdr:col>14</xdr:col>
      <xdr:colOff>523875</xdr:colOff>
      <xdr:row>6</xdr:row>
      <xdr:rowOff>9525</xdr:rowOff>
    </xdr:to>
    <xdr:pic>
      <xdr:nvPicPr>
        <xdr:cNvPr id="9" name="Picture 11" descr="mark_U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66675"/>
          <a:ext cx="4143375" cy="1266825"/>
        </a:xfrm>
        <a:prstGeom prst="rect">
          <a:avLst/>
        </a:prstGeom>
        <a:solidFill>
          <a:srgbClr val="99CCFF"/>
        </a:solidFill>
        <a:ln w="9525" cmpd="sng">
          <a:solidFill>
            <a:srgbClr val="3366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97"/>
  <sheetViews>
    <sheetView showGridLines="0" tabSelected="1" view="pageBreakPreview" zoomScaleSheetLayoutView="100" zoomScalePageLayoutView="0" workbookViewId="0" topLeftCell="A58">
      <selection activeCell="L97" sqref="L97"/>
    </sheetView>
  </sheetViews>
  <sheetFormatPr defaultColWidth="9.00390625" defaultRowHeight="12.75" zeroHeight="1"/>
  <cols>
    <col min="1" max="1" width="7.625" style="15" customWidth="1"/>
    <col min="2" max="5" width="9.00390625" style="15" customWidth="1"/>
    <col min="6" max="6" width="10.00390625" style="15" bestFit="1" customWidth="1"/>
    <col min="7" max="8" width="9.00390625" style="15" customWidth="1"/>
    <col min="9" max="9" width="8.125" style="2" customWidth="1"/>
    <col min="10" max="10" width="11.125" style="2" customWidth="1"/>
    <col min="11" max="11" width="10.75390625" style="2" customWidth="1"/>
    <col min="12" max="14" width="9.00390625" style="2" customWidth="1"/>
    <col min="15" max="15" width="9.25390625" style="4" bestFit="1" customWidth="1"/>
    <col min="16" max="16" width="10.75390625" style="15" customWidth="1"/>
    <col min="17" max="18" width="9.125" style="15" customWidth="1"/>
    <col min="19" max="21" width="0" style="15" hidden="1" customWidth="1"/>
    <col min="22" max="16384" width="9.125" style="15" customWidth="1"/>
  </cols>
  <sheetData>
    <row r="1" spans="1:16" ht="18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20"/>
      <c r="K1" s="28"/>
      <c r="L1" s="28"/>
      <c r="M1" s="28"/>
      <c r="N1" s="28"/>
      <c r="P1" s="4"/>
    </row>
    <row r="2" spans="1:21" ht="15.75">
      <c r="A2" s="108" t="str">
        <f>CONCATENATE("Стоимость предмета залога, ",L16)</f>
        <v>Стоимость предмета залога, </v>
      </c>
      <c r="B2" s="108"/>
      <c r="C2" s="108"/>
      <c r="D2" s="108"/>
      <c r="E2" s="108"/>
      <c r="F2" s="108"/>
      <c r="G2" s="88"/>
      <c r="H2" s="109">
        <v>22000</v>
      </c>
      <c r="I2" s="109"/>
      <c r="J2" s="27"/>
      <c r="K2" s="29"/>
      <c r="L2" s="29"/>
      <c r="M2" s="29"/>
      <c r="N2" s="29"/>
      <c r="O2" s="29"/>
      <c r="P2" s="4"/>
      <c r="Q2" s="4"/>
      <c r="R2" s="4"/>
      <c r="T2" s="30"/>
      <c r="U2" s="4"/>
    </row>
    <row r="3" spans="1:21" ht="15.75">
      <c r="A3" s="120" t="str">
        <f>CONCATENATE("Сумма аванса, ",L16)</f>
        <v>Сумма аванса, </v>
      </c>
      <c r="B3" s="120"/>
      <c r="C3" s="120"/>
      <c r="D3" s="120"/>
      <c r="E3" s="120"/>
      <c r="F3" s="89">
        <v>0.1</v>
      </c>
      <c r="G3" s="90"/>
      <c r="H3" s="132">
        <f>F3*stoimost</f>
        <v>2200</v>
      </c>
      <c r="I3" s="132"/>
      <c r="J3" s="27"/>
      <c r="K3" s="130"/>
      <c r="L3" s="130"/>
      <c r="M3" s="130"/>
      <c r="N3" s="130"/>
      <c r="O3" s="130"/>
      <c r="P3" s="31"/>
      <c r="Q3" s="4"/>
      <c r="R3" s="4"/>
      <c r="T3" s="4" t="s">
        <v>17</v>
      </c>
      <c r="U3" s="1" t="s">
        <v>0</v>
      </c>
    </row>
    <row r="4" spans="1:21" ht="19.5">
      <c r="A4" s="120" t="str">
        <f>CONCATENATE("Сумма кредита, ",L16)</f>
        <v>Сумма кредита, </v>
      </c>
      <c r="B4" s="120"/>
      <c r="C4" s="120"/>
      <c r="D4" s="120"/>
      <c r="E4" s="120"/>
      <c r="F4" s="90">
        <f>sumkred/stoimost</f>
        <v>0.9</v>
      </c>
      <c r="G4" s="90"/>
      <c r="H4" s="132">
        <f>stoimost-avans</f>
        <v>19800</v>
      </c>
      <c r="I4" s="132"/>
      <c r="J4" s="27"/>
      <c r="K4" s="118"/>
      <c r="L4" s="118"/>
      <c r="M4" s="118"/>
      <c r="N4" s="118"/>
      <c r="O4" s="118"/>
      <c r="P4" s="31"/>
      <c r="Q4" s="4"/>
      <c r="R4" s="4"/>
      <c r="T4" s="15" t="s">
        <v>18</v>
      </c>
      <c r="U4" s="1" t="s">
        <v>1</v>
      </c>
    </row>
    <row r="5" spans="1:18" ht="19.5">
      <c r="A5" s="108" t="s">
        <v>2</v>
      </c>
      <c r="B5" s="108"/>
      <c r="C5" s="108"/>
      <c r="D5" s="108"/>
      <c r="E5" s="108"/>
      <c r="F5" s="108"/>
      <c r="G5" s="88"/>
      <c r="H5" s="117">
        <v>36</v>
      </c>
      <c r="I5" s="117"/>
      <c r="J5" s="32"/>
      <c r="K5" s="118"/>
      <c r="L5" s="118"/>
      <c r="M5" s="118"/>
      <c r="N5" s="118"/>
      <c r="O5" s="118"/>
      <c r="P5" s="31"/>
      <c r="Q5" s="4"/>
      <c r="R5" s="4"/>
    </row>
    <row r="6" spans="1:18" ht="15.75">
      <c r="A6" s="108" t="s">
        <v>3</v>
      </c>
      <c r="B6" s="108"/>
      <c r="C6" s="108"/>
      <c r="D6" s="108"/>
      <c r="E6" s="108"/>
      <c r="F6" s="108"/>
      <c r="G6" s="88"/>
      <c r="H6" s="109">
        <v>25</v>
      </c>
      <c r="I6" s="109"/>
      <c r="J6" s="33"/>
      <c r="K6" s="34"/>
      <c r="L6" s="35"/>
      <c r="M6" s="35"/>
      <c r="N6" s="36"/>
      <c r="O6" s="37"/>
      <c r="P6" s="38" t="s">
        <v>4</v>
      </c>
      <c r="Q6" s="4"/>
      <c r="R6" s="4"/>
    </row>
    <row r="7" spans="1:18" ht="15.75">
      <c r="A7" s="108" t="s">
        <v>16</v>
      </c>
      <c r="B7" s="108"/>
      <c r="C7" s="108"/>
      <c r="D7" s="108"/>
      <c r="E7" s="108"/>
      <c r="F7" s="108"/>
      <c r="G7" s="88"/>
      <c r="H7" s="110">
        <v>2</v>
      </c>
      <c r="I7" s="110"/>
      <c r="J7" s="39"/>
      <c r="L7" s="133">
        <f>IF(A16=1,"Курс ком., грн.",IF(A16=3,"Курс ком., грн.",""))</f>
      </c>
      <c r="M7" s="133"/>
      <c r="N7" s="133"/>
      <c r="O7" s="3">
        <f>IF(A16=1,P7,IF(A16=3,P7,""))</f>
      </c>
      <c r="P7" s="41">
        <v>22.55</v>
      </c>
      <c r="Q7" s="4"/>
      <c r="R7" s="4"/>
    </row>
    <row r="8" spans="1:18" ht="15.75">
      <c r="A8" s="108" t="str">
        <f>CONCATENATE("Месячный платеж по кредиту, ",L16)</f>
        <v>Месячный платеж по кредиту, </v>
      </c>
      <c r="B8" s="108"/>
      <c r="C8" s="108"/>
      <c r="D8" s="108"/>
      <c r="E8" s="108"/>
      <c r="F8" s="108"/>
      <c r="G8" s="88"/>
      <c r="H8" s="135">
        <f>IF(data=1,sumkred/strok,sumkred*PROC/100/((1-POWER(1+PROC/1200,-strok))*12))</f>
        <v>787.2445528448623</v>
      </c>
      <c r="I8" s="135"/>
      <c r="J8" s="21"/>
      <c r="K8" s="136" t="s">
        <v>34</v>
      </c>
      <c r="L8" s="136"/>
      <c r="M8" s="136"/>
      <c r="N8" s="136"/>
      <c r="O8" s="43">
        <f>IF(A16=1,P10,IF(A16=3,P10,""))</f>
      </c>
      <c r="Q8" s="4"/>
      <c r="R8" s="4"/>
    </row>
    <row r="9" spans="1:18" ht="15.75">
      <c r="A9" s="108" t="s">
        <v>5</v>
      </c>
      <c r="B9" s="108"/>
      <c r="C9" s="108"/>
      <c r="D9" s="108"/>
      <c r="E9" s="108"/>
      <c r="F9" s="108"/>
      <c r="G9" s="88"/>
      <c r="H9" s="134">
        <v>3</v>
      </c>
      <c r="I9" s="134"/>
      <c r="J9" s="21"/>
      <c r="K9" s="42"/>
      <c r="L9" s="40"/>
      <c r="M9" s="40"/>
      <c r="N9" s="40"/>
      <c r="O9" s="43"/>
      <c r="P9" s="38" t="s">
        <v>6</v>
      </c>
      <c r="Q9" s="4"/>
      <c r="R9" s="4"/>
    </row>
    <row r="10" spans="1:18" ht="15.75">
      <c r="A10" s="108" t="s">
        <v>7</v>
      </c>
      <c r="B10" s="108"/>
      <c r="C10" s="108"/>
      <c r="D10" s="108"/>
      <c r="E10" s="108"/>
      <c r="F10" s="108">
        <v>12</v>
      </c>
      <c r="G10" s="88"/>
      <c r="H10" s="138">
        <v>2</v>
      </c>
      <c r="I10" s="138"/>
      <c r="J10" s="22"/>
      <c r="K10" s="42"/>
      <c r="L10" s="40"/>
      <c r="M10" s="40"/>
      <c r="N10" s="40"/>
      <c r="O10" s="43"/>
      <c r="P10" s="44">
        <v>21.133675</v>
      </c>
      <c r="R10" s="4"/>
    </row>
    <row r="11" spans="1:18" ht="15.75">
      <c r="A11" s="114" t="s">
        <v>35</v>
      </c>
      <c r="B11" s="114"/>
      <c r="C11" s="114"/>
      <c r="D11" s="114"/>
      <c r="E11" s="114"/>
      <c r="F11" s="114"/>
      <c r="G11" s="114"/>
      <c r="H11" s="115">
        <f>IF(sumkred*30%&gt;10000,10000,sumkred*30%)</f>
        <v>5940</v>
      </c>
      <c r="I11" s="115"/>
      <c r="J11" s="22"/>
      <c r="K11" s="42"/>
      <c r="L11" s="40"/>
      <c r="M11" s="40"/>
      <c r="N11" s="40"/>
      <c r="O11" s="43"/>
      <c r="P11" s="30"/>
      <c r="R11" s="4"/>
    </row>
    <row r="12" spans="1:18" ht="15.75">
      <c r="A12" s="114" t="s">
        <v>39</v>
      </c>
      <c r="B12" s="114"/>
      <c r="C12" s="114"/>
      <c r="D12" s="114"/>
      <c r="E12" s="114"/>
      <c r="F12" s="114"/>
      <c r="G12" s="114"/>
      <c r="H12" s="115">
        <f>sumkred-H11</f>
        <v>13860</v>
      </c>
      <c r="I12" s="115"/>
      <c r="J12" s="22"/>
      <c r="K12" s="42"/>
      <c r="L12" s="40"/>
      <c r="M12" s="40"/>
      <c r="N12" s="40"/>
      <c r="O12" s="43"/>
      <c r="P12" s="30"/>
      <c r="R12" s="4"/>
    </row>
    <row r="13" spans="1:18" ht="15.75">
      <c r="A13" s="114" t="s">
        <v>40</v>
      </c>
      <c r="B13" s="114"/>
      <c r="C13" s="114"/>
      <c r="D13" s="114"/>
      <c r="E13" s="114"/>
      <c r="F13" s="114"/>
      <c r="G13" s="114"/>
      <c r="H13" s="152">
        <f>IF(data=1,H12/strok,H12*PROC/100/((1-POWER(1+PROC/1200,-strok))*12))</f>
        <v>551.0711869914036</v>
      </c>
      <c r="I13" s="152"/>
      <c r="J13" s="22"/>
      <c r="K13" s="42"/>
      <c r="L13" s="40"/>
      <c r="M13" s="40"/>
      <c r="N13" s="40"/>
      <c r="O13" s="43"/>
      <c r="P13" s="30"/>
      <c r="R13" s="4"/>
    </row>
    <row r="14" spans="1:18" ht="16.5" thickBot="1">
      <c r="A14" s="73"/>
      <c r="B14" s="73"/>
      <c r="C14" s="73"/>
      <c r="D14" s="73"/>
      <c r="E14" s="73"/>
      <c r="F14" s="73"/>
      <c r="G14" s="73"/>
      <c r="H14" s="74"/>
      <c r="I14" s="74"/>
      <c r="J14" s="22"/>
      <c r="K14" s="42"/>
      <c r="L14" s="40"/>
      <c r="M14" s="40"/>
      <c r="N14" s="40"/>
      <c r="O14" s="43"/>
      <c r="P14" s="30"/>
      <c r="R14" s="4"/>
    </row>
    <row r="15" spans="1:18" ht="15.75" customHeight="1" thickBot="1">
      <c r="A15" s="140" t="s">
        <v>37</v>
      </c>
      <c r="B15" s="141"/>
      <c r="C15" s="141"/>
      <c r="D15" s="141"/>
      <c r="E15" s="141"/>
      <c r="F15" s="141"/>
      <c r="G15" s="141"/>
      <c r="H15" s="141"/>
      <c r="I15" s="141"/>
      <c r="J15" s="142"/>
      <c r="K15" s="42"/>
      <c r="L15" s="40"/>
      <c r="M15" s="40"/>
      <c r="N15" s="40"/>
      <c r="O15" s="43"/>
      <c r="P15" s="30"/>
      <c r="R15" s="4"/>
    </row>
    <row r="16" spans="1:16" ht="13.5" thickBot="1">
      <c r="A16" s="76">
        <v>2</v>
      </c>
      <c r="B16" s="76"/>
      <c r="C16" s="76"/>
      <c r="D16" s="76"/>
      <c r="E16" s="76"/>
      <c r="F16" s="76"/>
      <c r="G16" s="76"/>
      <c r="H16" s="76"/>
      <c r="I16" s="76"/>
      <c r="J16" s="76"/>
      <c r="K16" s="5"/>
      <c r="L16" s="119"/>
      <c r="M16" s="119"/>
      <c r="N16" s="119"/>
      <c r="O16" s="119"/>
      <c r="P16" s="30"/>
    </row>
    <row r="17" spans="1:15" ht="12.75" customHeight="1" thickBot="1">
      <c r="A17" s="143" t="s">
        <v>8</v>
      </c>
      <c r="B17" s="111" t="s">
        <v>9</v>
      </c>
      <c r="C17" s="112"/>
      <c r="D17" s="113"/>
      <c r="E17" s="111" t="s">
        <v>10</v>
      </c>
      <c r="F17" s="112"/>
      <c r="G17" s="113"/>
      <c r="H17" s="111" t="s">
        <v>11</v>
      </c>
      <c r="I17" s="112"/>
      <c r="J17" s="113"/>
      <c r="K17" s="131"/>
      <c r="L17" s="131"/>
      <c r="M17" s="131"/>
      <c r="N17" s="131"/>
      <c r="O17" s="131"/>
    </row>
    <row r="18" spans="1:15" ht="45.75" thickBot="1">
      <c r="A18" s="144"/>
      <c r="B18" s="18" t="s">
        <v>12</v>
      </c>
      <c r="C18" s="19" t="s">
        <v>13</v>
      </c>
      <c r="D18" s="23" t="s">
        <v>31</v>
      </c>
      <c r="E18" s="18" t="s">
        <v>12</v>
      </c>
      <c r="F18" s="19" t="s">
        <v>13</v>
      </c>
      <c r="G18" s="23" t="s">
        <v>31</v>
      </c>
      <c r="H18" s="18" t="s">
        <v>12</v>
      </c>
      <c r="I18" s="19" t="s">
        <v>13</v>
      </c>
      <c r="J18" s="23" t="s">
        <v>31</v>
      </c>
      <c r="K18" s="57"/>
      <c r="L18" s="57"/>
      <c r="M18" s="58"/>
      <c r="N18" s="57"/>
      <c r="O18" s="57"/>
    </row>
    <row r="19" spans="1:15" ht="13.5" thickTop="1">
      <c r="A19" s="6" t="s">
        <v>19</v>
      </c>
      <c r="B19" s="7">
        <f>sumkred</f>
        <v>19800</v>
      </c>
      <c r="C19" s="7">
        <f>B19*(PROC/36500)*30.42</f>
        <v>412.5452054794521</v>
      </c>
      <c r="D19" s="24">
        <f>IF(data=2,C19,IF(data=1,IF(C19&gt;0,C19+sumproplat,0),IF(B19&gt;sumproplat*2,sumproplat,B19+C19)))</f>
        <v>412.5452054794521</v>
      </c>
      <c r="E19" s="7">
        <f>IF(data=1,IF((B30-sumproplat)&gt;0,B30-sumproplat,0),IF(B30-(sumproplat-C30)&gt;0,B30-(D30-C30),0))</f>
        <v>15220.925542799632</v>
      </c>
      <c r="F19" s="7">
        <f>E19*(PROC/36500)*30.42</f>
        <v>317.13736644655125</v>
      </c>
      <c r="G19" s="24">
        <f aca="true" t="shared" si="0" ref="G19:G30">IF(data=1,IF(F19&gt;0,F19+sumproplat,0),IF(E19&gt;sumproplat*2,sumproplat,E19+F19))</f>
        <v>787.2445528448623</v>
      </c>
      <c r="H19" s="7">
        <f>IF(data=1,IF((E30-sumproplat)&gt;0,E30-sumproplat,0),IF(E30-(sumproplat-F30)&gt;0,E30-(G30-F30),0))</f>
        <v>8886.09578455251</v>
      </c>
      <c r="I19" s="7">
        <f>H19*(PROC/36500)*30.42</f>
        <v>185.1472834014297</v>
      </c>
      <c r="J19" s="24">
        <f aca="true" t="shared" si="1" ref="J19:J30">IF(data=1,IF(I19&gt;0,I19+sumproplat,0),IF(H19&gt;sumproplat*2,sumproplat,H19+I19))</f>
        <v>787.2445528448623</v>
      </c>
      <c r="K19" s="59"/>
      <c r="L19" s="59"/>
      <c r="M19" s="60"/>
      <c r="N19" s="59"/>
      <c r="O19" s="59"/>
    </row>
    <row r="20" spans="1:15" ht="12.75">
      <c r="A20" s="6" t="s">
        <v>20</v>
      </c>
      <c r="B20" s="8">
        <f>IF(data=1,IF((B19-sumproplat)&gt;0,B19-sumproplat,0),IF(B19-(sumproplat-C19)&gt;0,B19-(D19-C19),0))</f>
        <v>19800</v>
      </c>
      <c r="C20" s="8">
        <f>B20*(PROC/36500)*30.42</f>
        <v>412.5452054794521</v>
      </c>
      <c r="D20" s="24">
        <f aca="true" t="shared" si="2" ref="D20:D30">IF(data=1,IF(C20&gt;0,C20+sumproplat,0),IF(B20&gt;sumproplat*2,sumproplat,B20+C20))</f>
        <v>787.2445528448623</v>
      </c>
      <c r="E20" s="8">
        <f>IF(data=1,IF((E19-sumproplat)&gt;0,E19-sumproplat,0),IF(E19-(sumproplat-F19)&gt;0,E19-(G19-F19),0))</f>
        <v>14750.818356401322</v>
      </c>
      <c r="F20" s="8">
        <f>E20*(PROC/36500)*30.42</f>
        <v>307.34239342584124</v>
      </c>
      <c r="G20" s="24">
        <f t="shared" si="0"/>
        <v>787.2445528448623</v>
      </c>
      <c r="H20" s="8">
        <f>IF(data=1,IF((H19-sumproplat)&gt;0,H19-sumproplat,0),IF(H19-(sumproplat-I19)&gt;0,H19-(J19-I19),0))</f>
        <v>8283.998515109077</v>
      </c>
      <c r="I20" s="8">
        <f>H20*(PROC/36500)*30.42</f>
        <v>172.60221563672476</v>
      </c>
      <c r="J20" s="24">
        <f t="shared" si="1"/>
        <v>787.2445528448623</v>
      </c>
      <c r="K20" s="59"/>
      <c r="L20" s="59"/>
      <c r="M20" s="60"/>
      <c r="N20" s="59"/>
      <c r="O20" s="59"/>
    </row>
    <row r="21" spans="1:15" ht="12.75">
      <c r="A21" s="6" t="s">
        <v>21</v>
      </c>
      <c r="B21" s="8">
        <f aca="true" t="shared" si="3" ref="B21:B30">IF(data=1,IF((B20-sumproplat)&gt;0,B20-sumproplat,0),IF(B20-(sumproplat-C20)&gt;0,B20-(D20-C20),0))</f>
        <v>19425.30065263459</v>
      </c>
      <c r="C21" s="8">
        <f aca="true" t="shared" si="4" ref="C21:C30">B21*(PROC/36500)*30.42</f>
        <v>404.73811359804404</v>
      </c>
      <c r="D21" s="24">
        <f t="shared" si="2"/>
        <v>787.2445528448623</v>
      </c>
      <c r="E21" s="8">
        <f aca="true" t="shared" si="5" ref="E21:E30">IF(data=1,IF((E20-sumproplat)&gt;0,E20-sumproplat,0),IF(E20-(sumproplat-F20)&gt;0,E20-(G20-F20),0))</f>
        <v>14270.9161969823</v>
      </c>
      <c r="F21" s="8">
        <f aca="true" t="shared" si="6" ref="F21:F30">E21*(PROC/36500)*30.42</f>
        <v>297.34333610424767</v>
      </c>
      <c r="G21" s="24">
        <f t="shared" si="0"/>
        <v>787.2445528448623</v>
      </c>
      <c r="H21" s="8">
        <f aca="true" t="shared" si="7" ref="H21:H30">IF(data=1,IF((H20-sumproplat)&gt;0,H20-sumproplat,0),IF(H20-(sumproplat-I20)&gt;0,H20-(J20-I20),0))</f>
        <v>7669.35617790094</v>
      </c>
      <c r="I21" s="8">
        <f aca="true" t="shared" si="8" ref="I21:I30">H21*(PROC/36500)*30.42</f>
        <v>159.79576365188123</v>
      </c>
      <c r="J21" s="24">
        <f t="shared" si="1"/>
        <v>787.2445528448623</v>
      </c>
      <c r="K21" s="59"/>
      <c r="L21" s="59"/>
      <c r="M21" s="60"/>
      <c r="N21" s="59"/>
      <c r="O21" s="59"/>
    </row>
    <row r="22" spans="1:15" ht="12.75">
      <c r="A22" s="6" t="s">
        <v>22</v>
      </c>
      <c r="B22" s="8">
        <f t="shared" si="3"/>
        <v>19042.79421338777</v>
      </c>
      <c r="C22" s="8">
        <f t="shared" si="4"/>
        <v>396.7683561446959</v>
      </c>
      <c r="D22" s="24">
        <f t="shared" si="2"/>
        <v>787.2445528448623</v>
      </c>
      <c r="E22" s="8">
        <f t="shared" si="5"/>
        <v>13781.014980241685</v>
      </c>
      <c r="F22" s="8">
        <f t="shared" si="6"/>
        <v>287.1359422595562</v>
      </c>
      <c r="G22" s="24">
        <f t="shared" si="0"/>
        <v>787.2445528448623</v>
      </c>
      <c r="H22" s="8">
        <f t="shared" si="7"/>
        <v>7041.9073887079585</v>
      </c>
      <c r="I22" s="8">
        <f t="shared" si="8"/>
        <v>146.72248134554528</v>
      </c>
      <c r="J22" s="24">
        <f t="shared" si="1"/>
        <v>787.2445528448623</v>
      </c>
      <c r="K22" s="59"/>
      <c r="L22" s="59"/>
      <c r="M22" s="60"/>
      <c r="N22" s="59"/>
      <c r="O22" s="59"/>
    </row>
    <row r="23" spans="1:15" ht="12.75">
      <c r="A23" s="6" t="s">
        <v>23</v>
      </c>
      <c r="B23" s="8">
        <f t="shared" si="3"/>
        <v>18652.318016687605</v>
      </c>
      <c r="C23" s="8">
        <f t="shared" si="4"/>
        <v>388.6325438819431</v>
      </c>
      <c r="D23" s="24">
        <f t="shared" si="2"/>
        <v>787.2445528448623</v>
      </c>
      <c r="E23" s="8">
        <f t="shared" si="5"/>
        <v>13280.906369656379</v>
      </c>
      <c r="F23" s="8">
        <f t="shared" si="6"/>
        <v>276.71587107188157</v>
      </c>
      <c r="G23" s="24">
        <f t="shared" si="0"/>
        <v>787.2445528448623</v>
      </c>
      <c r="H23" s="8">
        <f t="shared" si="7"/>
        <v>6401.385317208642</v>
      </c>
      <c r="I23" s="8">
        <f t="shared" si="8"/>
        <v>133.3768091434842</v>
      </c>
      <c r="J23" s="24">
        <f t="shared" si="1"/>
        <v>787.2445528448623</v>
      </c>
      <c r="K23" s="59"/>
      <c r="L23" s="59"/>
      <c r="M23" s="60"/>
      <c r="N23" s="59"/>
      <c r="O23" s="59"/>
    </row>
    <row r="24" spans="1:15" ht="12.75">
      <c r="A24" s="6" t="s">
        <v>24</v>
      </c>
      <c r="B24" s="8">
        <f t="shared" si="3"/>
        <v>18253.706007724686</v>
      </c>
      <c r="C24" s="8">
        <f t="shared" si="4"/>
        <v>380.32721695546917</v>
      </c>
      <c r="D24" s="24">
        <f t="shared" si="2"/>
        <v>787.2445528448623</v>
      </c>
      <c r="E24" s="8">
        <f t="shared" si="5"/>
        <v>12770.377687883398</v>
      </c>
      <c r="F24" s="8">
        <f t="shared" si="6"/>
        <v>266.0786912776801</v>
      </c>
      <c r="G24" s="24">
        <f t="shared" si="0"/>
        <v>787.2445528448623</v>
      </c>
      <c r="H24" s="8">
        <f t="shared" si="7"/>
        <v>5747.517573507264</v>
      </c>
      <c r="I24" s="8">
        <f t="shared" si="8"/>
        <v>119.75307163430891</v>
      </c>
      <c r="J24" s="24">
        <f t="shared" si="1"/>
        <v>787.2445528448623</v>
      </c>
      <c r="K24" s="59"/>
      <c r="L24" s="59"/>
      <c r="M24" s="60"/>
      <c r="N24" s="59"/>
      <c r="O24" s="59"/>
    </row>
    <row r="25" spans="1:15" ht="14.25" customHeight="1">
      <c r="A25" s="6" t="s">
        <v>25</v>
      </c>
      <c r="B25" s="8">
        <f t="shared" si="3"/>
        <v>17846.788671835293</v>
      </c>
      <c r="C25" s="8">
        <f t="shared" si="4"/>
        <v>371.84884342276</v>
      </c>
      <c r="D25" s="24">
        <f t="shared" si="2"/>
        <v>787.2445528448623</v>
      </c>
      <c r="E25" s="8">
        <f t="shared" si="5"/>
        <v>12249.211826316216</v>
      </c>
      <c r="F25" s="8">
        <f t="shared" si="6"/>
        <v>255.2198792853009</v>
      </c>
      <c r="G25" s="24">
        <f t="shared" si="0"/>
        <v>787.2445528448623</v>
      </c>
      <c r="H25" s="8">
        <f t="shared" si="7"/>
        <v>5080.026092296711</v>
      </c>
      <c r="I25" s="8">
        <f t="shared" si="8"/>
        <v>105.84547515593559</v>
      </c>
      <c r="J25" s="24">
        <f t="shared" si="1"/>
        <v>787.2445528448623</v>
      </c>
      <c r="K25" s="59"/>
      <c r="L25" s="59"/>
      <c r="M25" s="60"/>
      <c r="N25" s="59"/>
      <c r="O25" s="59"/>
    </row>
    <row r="26" spans="1:15" ht="12.75">
      <c r="A26" s="6" t="s">
        <v>26</v>
      </c>
      <c r="B26" s="8">
        <f t="shared" si="3"/>
        <v>17431.392962413192</v>
      </c>
      <c r="C26" s="8">
        <f t="shared" si="4"/>
        <v>363.1938177511023</v>
      </c>
      <c r="D26" s="24">
        <f t="shared" si="2"/>
        <v>787.2445528448623</v>
      </c>
      <c r="E26" s="8">
        <f t="shared" si="5"/>
        <v>11717.187152756655</v>
      </c>
      <c r="F26" s="8">
        <f t="shared" si="6"/>
        <v>244.13481725127227</v>
      </c>
      <c r="G26" s="24">
        <f t="shared" si="0"/>
        <v>787.2445528448623</v>
      </c>
      <c r="H26" s="8">
        <f t="shared" si="7"/>
        <v>4398.627014607784</v>
      </c>
      <c r="I26" s="8">
        <f t="shared" si="8"/>
        <v>91.64810533175945</v>
      </c>
      <c r="J26" s="24">
        <f t="shared" si="1"/>
        <v>787.2445528448623</v>
      </c>
      <c r="K26" s="59"/>
      <c r="L26" s="59"/>
      <c r="M26" s="60"/>
      <c r="N26" s="59"/>
      <c r="O26" s="59"/>
    </row>
    <row r="27" spans="1:15" ht="12.75">
      <c r="A27" s="6" t="s">
        <v>27</v>
      </c>
      <c r="B27" s="8">
        <f t="shared" si="3"/>
        <v>17007.342227319434</v>
      </c>
      <c r="C27" s="8">
        <f t="shared" si="4"/>
        <v>354.35845928428574</v>
      </c>
      <c r="D27" s="24">
        <f t="shared" si="2"/>
        <v>787.2445528448623</v>
      </c>
      <c r="E27" s="8">
        <f t="shared" si="5"/>
        <v>11174.077417163064</v>
      </c>
      <c r="F27" s="8">
        <f t="shared" si="6"/>
        <v>232.81879111650713</v>
      </c>
      <c r="G27" s="24">
        <f t="shared" si="0"/>
        <v>787.2445528448623</v>
      </c>
      <c r="H27" s="8">
        <f t="shared" si="7"/>
        <v>3703.0305670946814</v>
      </c>
      <c r="I27" s="8">
        <f t="shared" si="8"/>
        <v>77.1549245554933</v>
      </c>
      <c r="J27" s="24">
        <f t="shared" si="1"/>
        <v>787.2445528448623</v>
      </c>
      <c r="K27" s="59"/>
      <c r="L27" s="59"/>
      <c r="M27" s="60"/>
      <c r="N27" s="59"/>
      <c r="O27" s="59"/>
    </row>
    <row r="28" spans="1:15" ht="12.75">
      <c r="A28" s="6" t="s">
        <v>28</v>
      </c>
      <c r="B28" s="8">
        <f t="shared" si="3"/>
        <v>16574.456133758857</v>
      </c>
      <c r="C28" s="8">
        <f t="shared" si="4"/>
        <v>345.3390106773592</v>
      </c>
      <c r="D28" s="24">
        <f t="shared" si="2"/>
        <v>787.2445528448623</v>
      </c>
      <c r="E28" s="8">
        <f t="shared" si="5"/>
        <v>10619.651655434709</v>
      </c>
      <c r="F28" s="8">
        <f t="shared" si="6"/>
        <v>221.2669886015917</v>
      </c>
      <c r="G28" s="24">
        <f t="shared" si="0"/>
        <v>787.2445528448623</v>
      </c>
      <c r="H28" s="8">
        <f t="shared" si="7"/>
        <v>2992.9409388053123</v>
      </c>
      <c r="I28" s="8">
        <f t="shared" si="8"/>
        <v>62.3597694236011</v>
      </c>
      <c r="J28" s="24">
        <f t="shared" si="1"/>
        <v>787.2445528448623</v>
      </c>
      <c r="K28" s="59"/>
      <c r="L28" s="59"/>
      <c r="M28" s="60"/>
      <c r="N28" s="59"/>
      <c r="O28" s="59"/>
    </row>
    <row r="29" spans="1:15" ht="12.75">
      <c r="A29" s="6" t="s">
        <v>29</v>
      </c>
      <c r="B29" s="8">
        <f t="shared" si="3"/>
        <v>16132.550591591353</v>
      </c>
      <c r="C29" s="8">
        <f t="shared" si="4"/>
        <v>336.1316362987733</v>
      </c>
      <c r="D29" s="24">
        <f t="shared" si="2"/>
        <v>787.2445528448623</v>
      </c>
      <c r="E29" s="8">
        <f t="shared" si="5"/>
        <v>10053.674091191438</v>
      </c>
      <c r="F29" s="8">
        <f t="shared" si="6"/>
        <v>209.47449716030383</v>
      </c>
      <c r="G29" s="24">
        <f t="shared" si="0"/>
        <v>787.2445528448623</v>
      </c>
      <c r="H29" s="8">
        <f t="shared" si="7"/>
        <v>2268.056155384051</v>
      </c>
      <c r="I29" s="8">
        <f t="shared" si="8"/>
        <v>47.256348114234825</v>
      </c>
      <c r="J29" s="24">
        <f t="shared" si="1"/>
        <v>787.2445528448623</v>
      </c>
      <c r="K29" s="59"/>
      <c r="L29" s="59"/>
      <c r="M29" s="60"/>
      <c r="N29" s="59"/>
      <c r="O29" s="59"/>
    </row>
    <row r="30" spans="1:15" ht="13.5" thickBot="1">
      <c r="A30" s="6" t="s">
        <v>30</v>
      </c>
      <c r="B30" s="9">
        <f t="shared" si="3"/>
        <v>15681.437675045263</v>
      </c>
      <c r="C30" s="9">
        <f t="shared" si="4"/>
        <v>326.7324205992308</v>
      </c>
      <c r="D30" s="26">
        <f t="shared" si="2"/>
        <v>787.2445528448623</v>
      </c>
      <c r="E30" s="9">
        <f t="shared" si="5"/>
        <v>9475.90403550688</v>
      </c>
      <c r="F30" s="9">
        <f t="shared" si="6"/>
        <v>197.43630189049267</v>
      </c>
      <c r="G30" s="26">
        <f t="shared" si="0"/>
        <v>787.2445528448623</v>
      </c>
      <c r="H30" s="9">
        <f t="shared" si="7"/>
        <v>1528.0679506534238</v>
      </c>
      <c r="I30" s="9">
        <f t="shared" si="8"/>
        <v>31.8382377115597</v>
      </c>
      <c r="J30" s="62">
        <f t="shared" si="1"/>
        <v>1559.9061883649836</v>
      </c>
      <c r="K30" s="59"/>
      <c r="L30" s="59"/>
      <c r="M30" s="60"/>
      <c r="N30" s="59"/>
      <c r="O30" s="59"/>
    </row>
    <row r="31" spans="1:15" ht="14.25" thickBot="1" thickTop="1">
      <c r="A31" s="10" t="s">
        <v>14</v>
      </c>
      <c r="B31" s="11"/>
      <c r="C31" s="12">
        <f>SUM(C19:C30)</f>
        <v>4493.160829572568</v>
      </c>
      <c r="D31" s="25">
        <f>SUM(D19:D30)</f>
        <v>9072.235286772939</v>
      </c>
      <c r="E31" s="11"/>
      <c r="F31" s="12">
        <f>SUM(F19:F30)</f>
        <v>3112.104875891227</v>
      </c>
      <c r="G31" s="25">
        <f>SUM(G19:G30)</f>
        <v>9446.934634138348</v>
      </c>
      <c r="H31" s="11"/>
      <c r="I31" s="12">
        <f>SUM(I19:I30)</f>
        <v>1333.5004851059582</v>
      </c>
      <c r="J31" s="25">
        <f>SUM(J19:J30)</f>
        <v>10219.596269658468</v>
      </c>
      <c r="K31" s="14"/>
      <c r="L31" s="14"/>
      <c r="M31" s="61"/>
      <c r="N31" s="14"/>
      <c r="O31" s="14"/>
    </row>
    <row r="32" spans="1:17" ht="13.5" thickBot="1">
      <c r="A32" s="17"/>
      <c r="B32" s="14"/>
      <c r="C32" s="14"/>
      <c r="D32" s="14"/>
      <c r="E32" s="14"/>
      <c r="F32" s="14"/>
      <c r="G32" s="14"/>
      <c r="H32" s="14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>
      <c r="A33" s="124" t="str">
        <f>CONCATENATE("Общая сумма процентов, ",L16)</f>
        <v>Общая сумма процентов, </v>
      </c>
      <c r="B33" s="125"/>
      <c r="C33" s="125"/>
      <c r="D33" s="125"/>
      <c r="E33" s="125"/>
      <c r="F33" s="125"/>
      <c r="G33" s="125"/>
      <c r="H33" s="125"/>
      <c r="I33" s="126"/>
      <c r="J33" s="64">
        <f>SUM(C31,F31,I31)</f>
        <v>8938.766190569753</v>
      </c>
      <c r="K33" s="14"/>
      <c r="L33" s="42"/>
      <c r="M33" s="42"/>
      <c r="N33" s="42"/>
      <c r="O33" s="42"/>
      <c r="P33" s="13"/>
      <c r="Q33" s="4"/>
    </row>
    <row r="34" spans="1:17" ht="16.5" thickBot="1">
      <c r="A34" s="127" t="s">
        <v>32</v>
      </c>
      <c r="B34" s="128"/>
      <c r="C34" s="128"/>
      <c r="D34" s="128"/>
      <c r="E34" s="128"/>
      <c r="F34" s="128"/>
      <c r="G34" s="128"/>
      <c r="H34" s="128"/>
      <c r="I34" s="129"/>
      <c r="J34" s="65">
        <f>J33/stoimost</f>
        <v>0.40630755411680697</v>
      </c>
      <c r="K34" s="63"/>
      <c r="L34" s="45">
        <v>0</v>
      </c>
      <c r="M34" s="45"/>
      <c r="N34" s="42"/>
      <c r="O34" s="42"/>
      <c r="P34" s="13"/>
      <c r="Q34" s="4"/>
    </row>
    <row r="35" spans="1:17" ht="16.5" thickBot="1">
      <c r="A35" s="75"/>
      <c r="B35" s="75"/>
      <c r="C35" s="75"/>
      <c r="D35" s="75"/>
      <c r="E35" s="75"/>
      <c r="F35" s="75"/>
      <c r="G35" s="75"/>
      <c r="H35" s="75"/>
      <c r="I35" s="75"/>
      <c r="J35" s="63"/>
      <c r="K35" s="63"/>
      <c r="L35" s="45"/>
      <c r="M35" s="45"/>
      <c r="N35" s="42"/>
      <c r="O35" s="42"/>
      <c r="P35" s="13"/>
      <c r="Q35" s="4"/>
    </row>
    <row r="36" spans="1:17" ht="16.5" thickBot="1">
      <c r="A36" s="140" t="s">
        <v>38</v>
      </c>
      <c r="B36" s="141"/>
      <c r="C36" s="141"/>
      <c r="D36" s="141"/>
      <c r="E36" s="141"/>
      <c r="F36" s="141"/>
      <c r="G36" s="141"/>
      <c r="H36" s="141"/>
      <c r="I36" s="141"/>
      <c r="J36" s="142"/>
      <c r="K36" s="63"/>
      <c r="L36" s="45"/>
      <c r="M36" s="45"/>
      <c r="N36" s="42"/>
      <c r="O36" s="42"/>
      <c r="P36" s="13"/>
      <c r="Q36" s="4"/>
    </row>
    <row r="37" spans="1:17" ht="13.5" thickBot="1">
      <c r="A37" s="76">
        <v>0</v>
      </c>
      <c r="B37" s="76"/>
      <c r="C37" s="76"/>
      <c r="D37" s="76"/>
      <c r="E37" s="76"/>
      <c r="F37" s="76"/>
      <c r="G37" s="76"/>
      <c r="H37" s="76"/>
      <c r="I37" s="76"/>
      <c r="J37" s="76"/>
      <c r="K37" s="63"/>
      <c r="L37" s="45"/>
      <c r="M37" s="45"/>
      <c r="N37" s="42"/>
      <c r="O37" s="42"/>
      <c r="P37" s="13"/>
      <c r="Q37" s="4"/>
    </row>
    <row r="38" spans="1:17" ht="13.5" thickBot="1">
      <c r="A38" s="143" t="s">
        <v>8</v>
      </c>
      <c r="B38" s="111" t="s">
        <v>9</v>
      </c>
      <c r="C38" s="112"/>
      <c r="D38" s="113"/>
      <c r="E38" s="111" t="s">
        <v>10</v>
      </c>
      <c r="F38" s="112"/>
      <c r="G38" s="113"/>
      <c r="H38" s="111" t="s">
        <v>11</v>
      </c>
      <c r="I38" s="112"/>
      <c r="J38" s="113"/>
      <c r="K38" s="63"/>
      <c r="L38" s="45"/>
      <c r="M38" s="45"/>
      <c r="N38" s="42"/>
      <c r="O38" s="42"/>
      <c r="P38" s="13"/>
      <c r="Q38" s="4"/>
    </row>
    <row r="39" spans="1:17" ht="57.75" customHeight="1" thickBot="1">
      <c r="A39" s="144"/>
      <c r="B39" s="18" t="s">
        <v>12</v>
      </c>
      <c r="C39" s="19" t="s">
        <v>13</v>
      </c>
      <c r="D39" s="23" t="s">
        <v>31</v>
      </c>
      <c r="E39" s="18" t="s">
        <v>12</v>
      </c>
      <c r="F39" s="19" t="s">
        <v>13</v>
      </c>
      <c r="G39" s="23" t="s">
        <v>31</v>
      </c>
      <c r="H39" s="18" t="s">
        <v>12</v>
      </c>
      <c r="I39" s="19" t="s">
        <v>13</v>
      </c>
      <c r="J39" s="23" t="s">
        <v>31</v>
      </c>
      <c r="K39" s="63"/>
      <c r="L39" s="45"/>
      <c r="M39" s="45"/>
      <c r="N39" s="42"/>
      <c r="O39" s="42"/>
      <c r="P39" s="13"/>
      <c r="Q39" s="4"/>
    </row>
    <row r="40" spans="1:17" ht="13.5" thickTop="1">
      <c r="A40" s="6" t="s">
        <v>19</v>
      </c>
      <c r="B40" s="7">
        <f>H12</f>
        <v>13860</v>
      </c>
      <c r="C40" s="7">
        <f>B40*(PROC/36500)*30.42</f>
        <v>288.7816438356165</v>
      </c>
      <c r="D40" s="24">
        <f>IF(data=2,C40,IF(data=1,IF(C40&gt;0,C40+H13,0),IF(B40&gt;H13*2,H13,B40+C40)))</f>
        <v>288.7816438356165</v>
      </c>
      <c r="E40" s="7">
        <f>IF(data=1,IF((B51-sumproplat)&gt;0,B51-sumproplat,0),IF(B51-(sumproplat-C51)&gt;0,B51-(D51-C51),0))</f>
        <v>10654.647879959743</v>
      </c>
      <c r="F40" s="7">
        <f>E40*(PROC/36500)*30.42</f>
        <v>221.99615651258588</v>
      </c>
      <c r="G40" s="24">
        <f aca="true" t="shared" si="9" ref="G40:G51">IF(data=1,IF(F40&gt;0,F40+$H$13,0),IF(E40&gt;$H$13*2,$H$13,E40+F40))</f>
        <v>551.0711869914036</v>
      </c>
      <c r="H40" s="7">
        <f>IF(data=1,IF((E51-sumproplat)&gt;0,E51-sumproplat,0),IF(E51-(sumproplat-F51)&gt;0,E51-(G51-F51),0))</f>
        <v>6220.267049186757</v>
      </c>
      <c r="I40" s="7">
        <f>H40*(PROC/36500)*30.42</f>
        <v>129.6030983810008</v>
      </c>
      <c r="J40" s="24">
        <f aca="true" t="shared" si="10" ref="J40:J51">IF(data=1,IF(I40&gt;0,I40+$H$13,0),IF(H40&gt;$H$13*2,$H$13,H40+I40))</f>
        <v>551.0711869914036</v>
      </c>
      <c r="K40" s="63"/>
      <c r="L40" s="45"/>
      <c r="M40" s="45"/>
      <c r="N40" s="42"/>
      <c r="O40" s="42"/>
      <c r="P40" s="13"/>
      <c r="Q40" s="4"/>
    </row>
    <row r="41" spans="1:17" ht="12.75">
      <c r="A41" s="6" t="s">
        <v>20</v>
      </c>
      <c r="B41" s="8">
        <f>IF(data=1,IF((B40-sumproplat)&gt;0,B40-sumproplat,0),IF(B40-(sumproplat-C40)&gt;0,B40-(D40-C40),0))</f>
        <v>13860</v>
      </c>
      <c r="C41" s="8">
        <f>B41*(PROC/36500)*30.42</f>
        <v>288.7816438356165</v>
      </c>
      <c r="D41" s="24">
        <f>IF(data=1,IF(C41&gt;0,C41+H13,0),IF(B41&gt;H13*2,H13,B41+C41))</f>
        <v>551.0711869914036</v>
      </c>
      <c r="E41" s="8">
        <f>IF(data=1,IF((E40-sumproplat)&gt;0,E40-sumproplat,0),IF(E40-(sumproplat-F40)&gt;0,E40-(G40-F40),0))</f>
        <v>10325.572849480925</v>
      </c>
      <c r="F41" s="8">
        <f>E41*(PROC/36500)*30.42</f>
        <v>215.13967539808888</v>
      </c>
      <c r="G41" s="24">
        <f t="shared" si="9"/>
        <v>551.0711869914036</v>
      </c>
      <c r="H41" s="8">
        <f>IF(data=1,IF((H40-sumproplat)&gt;0,H40-sumproplat,0),IF(H40-(sumproplat-I40)&gt;0,H40-(J40-I40),0))</f>
        <v>5798.798960576354</v>
      </c>
      <c r="I41" s="8">
        <f>H41*(PROC/36500)*30.42</f>
        <v>120.82155094570733</v>
      </c>
      <c r="J41" s="24">
        <f t="shared" si="10"/>
        <v>551.0711869914036</v>
      </c>
      <c r="K41" s="63"/>
      <c r="L41" s="45"/>
      <c r="M41" s="45"/>
      <c r="N41" s="42"/>
      <c r="O41" s="42"/>
      <c r="P41" s="13"/>
      <c r="Q41" s="4"/>
    </row>
    <row r="42" spans="1:17" ht="12.75">
      <c r="A42" s="6" t="s">
        <v>21</v>
      </c>
      <c r="B42" s="8">
        <f aca="true" t="shared" si="11" ref="B42:B51">IF(data=1,IF((B41-sumproplat)&gt;0,B41-sumproplat,0),IF(B41-(sumproplat-C41)&gt;0,B41-(D41-C41),0))</f>
        <v>13597.710456844214</v>
      </c>
      <c r="C42" s="8">
        <f aca="true" t="shared" si="12" ref="C42:C51">B42*(PROC/36500)*30.42</f>
        <v>283.31667951863085</v>
      </c>
      <c r="D42" s="24">
        <f>IF(data=1,IF(C42&gt;0,C42+H13,0),IF(B42&gt;H13*2,H13,B42+C42))</f>
        <v>551.0711869914036</v>
      </c>
      <c r="E42" s="8">
        <f aca="true" t="shared" si="13" ref="E42:E51">IF(data=1,IF((E41-sumproplat)&gt;0,E41-sumproplat,0),IF(E41-(sumproplat-F41)&gt;0,E41-(G41-F41),0))</f>
        <v>9989.64133788761</v>
      </c>
      <c r="F42" s="8">
        <f aca="true" t="shared" si="14" ref="F42:F51">E42*(PROC/36500)*30.42</f>
        <v>208.14033527297335</v>
      </c>
      <c r="G42" s="24">
        <f t="shared" si="9"/>
        <v>551.0711869914036</v>
      </c>
      <c r="H42" s="8">
        <f aca="true" t="shared" si="15" ref="H42:H51">IF(data=1,IF((H41-sumproplat)&gt;0,H41-sumproplat,0),IF(H41-(sumproplat-I41)&gt;0,H41-(J41-I41),0))</f>
        <v>5368.549324530658</v>
      </c>
      <c r="I42" s="8">
        <f aca="true" t="shared" si="16" ref="I42:I51">H42*(PROC/36500)*30.42</f>
        <v>111.85703455631686</v>
      </c>
      <c r="J42" s="24">
        <f t="shared" si="10"/>
        <v>551.0711869914036</v>
      </c>
      <c r="K42" s="63"/>
      <c r="L42" s="45"/>
      <c r="M42" s="45"/>
      <c r="N42" s="42"/>
      <c r="O42" s="42"/>
      <c r="P42" s="13"/>
      <c r="Q42" s="4"/>
    </row>
    <row r="43" spans="1:17" ht="12.75">
      <c r="A43" s="6" t="s">
        <v>22</v>
      </c>
      <c r="B43" s="8">
        <f t="shared" si="11"/>
        <v>13329.95594937144</v>
      </c>
      <c r="C43" s="8">
        <f t="shared" si="12"/>
        <v>277.73784930128716</v>
      </c>
      <c r="D43" s="24">
        <f>IF(data=1,IF(C43&gt;0,C43+H13,0),IF(B43&gt;H13*2,H13,B43+C43))</f>
        <v>551.0711869914036</v>
      </c>
      <c r="E43" s="8">
        <f t="shared" si="13"/>
        <v>9646.710486169179</v>
      </c>
      <c r="F43" s="8">
        <f t="shared" si="14"/>
        <v>200.99515958168934</v>
      </c>
      <c r="G43" s="24">
        <f t="shared" si="9"/>
        <v>551.0711869914036</v>
      </c>
      <c r="H43" s="8">
        <f t="shared" si="15"/>
        <v>4929.335172095572</v>
      </c>
      <c r="I43" s="8">
        <f t="shared" si="16"/>
        <v>102.70573694188171</v>
      </c>
      <c r="J43" s="24">
        <f t="shared" si="10"/>
        <v>551.0711869914036</v>
      </c>
      <c r="K43" s="63"/>
      <c r="L43" s="45"/>
      <c r="M43" s="45"/>
      <c r="N43" s="42"/>
      <c r="O43" s="42"/>
      <c r="P43" s="13"/>
      <c r="Q43" s="4"/>
    </row>
    <row r="44" spans="1:17" ht="12.75">
      <c r="A44" s="6" t="s">
        <v>23</v>
      </c>
      <c r="B44" s="8">
        <f t="shared" si="11"/>
        <v>13056.622611681323</v>
      </c>
      <c r="C44" s="8">
        <f t="shared" si="12"/>
        <v>272.0427807173602</v>
      </c>
      <c r="D44" s="24">
        <f aca="true" t="shared" si="17" ref="D44:D51">IF(data=1,IF(C44&gt;0,C44+$H$13,0),IF(B44&gt;$H$13*2,$H$13,B44+C44))</f>
        <v>551.0711869914036</v>
      </c>
      <c r="E44" s="8">
        <f t="shared" si="13"/>
        <v>9296.634458759465</v>
      </c>
      <c r="F44" s="8">
        <f t="shared" si="14"/>
        <v>193.70110975031707</v>
      </c>
      <c r="G44" s="24">
        <f t="shared" si="9"/>
        <v>551.0711869914036</v>
      </c>
      <c r="H44" s="8">
        <f t="shared" si="15"/>
        <v>4480.969722046049</v>
      </c>
      <c r="I44" s="8">
        <f t="shared" si="16"/>
        <v>93.36376640043892</v>
      </c>
      <c r="J44" s="24">
        <f t="shared" si="10"/>
        <v>551.0711869914036</v>
      </c>
      <c r="K44" s="63"/>
      <c r="L44" s="45"/>
      <c r="M44" s="45"/>
      <c r="N44" s="42"/>
      <c r="O44" s="42"/>
      <c r="P44" s="13"/>
      <c r="Q44" s="4"/>
    </row>
    <row r="45" spans="1:17" ht="12.75">
      <c r="A45" s="6" t="s">
        <v>24</v>
      </c>
      <c r="B45" s="8">
        <f t="shared" si="11"/>
        <v>12777.59420540728</v>
      </c>
      <c r="C45" s="8">
        <f t="shared" si="12"/>
        <v>266.2290518688284</v>
      </c>
      <c r="D45" s="24">
        <f t="shared" si="17"/>
        <v>551.0711869914036</v>
      </c>
      <c r="E45" s="8">
        <f t="shared" si="13"/>
        <v>8939.264381518378</v>
      </c>
      <c r="F45" s="8">
        <f t="shared" si="14"/>
        <v>186.2550838943761</v>
      </c>
      <c r="G45" s="24">
        <f t="shared" si="9"/>
        <v>551.0711869914036</v>
      </c>
      <c r="H45" s="8">
        <f t="shared" si="15"/>
        <v>4023.2623014550845</v>
      </c>
      <c r="I45" s="8">
        <f t="shared" si="16"/>
        <v>83.82715014401622</v>
      </c>
      <c r="J45" s="24">
        <f t="shared" si="10"/>
        <v>551.0711869914036</v>
      </c>
      <c r="K45" s="63"/>
      <c r="L45" s="45"/>
      <c r="M45" s="45"/>
      <c r="N45" s="42"/>
      <c r="O45" s="42"/>
      <c r="P45" s="13"/>
      <c r="Q45" s="4"/>
    </row>
    <row r="46" spans="1:17" ht="12.75">
      <c r="A46" s="6" t="s">
        <v>25</v>
      </c>
      <c r="B46" s="8">
        <f t="shared" si="11"/>
        <v>12492.752070284705</v>
      </c>
      <c r="C46" s="8">
        <f t="shared" si="12"/>
        <v>260.294190395932</v>
      </c>
      <c r="D46" s="24">
        <f t="shared" si="17"/>
        <v>551.0711869914036</v>
      </c>
      <c r="E46" s="8">
        <f t="shared" si="13"/>
        <v>8574.44827842135</v>
      </c>
      <c r="F46" s="8">
        <f t="shared" si="14"/>
        <v>178.65391549971062</v>
      </c>
      <c r="G46" s="24">
        <f t="shared" si="9"/>
        <v>551.0711869914036</v>
      </c>
      <c r="H46" s="8">
        <f t="shared" si="15"/>
        <v>3556.0182646076973</v>
      </c>
      <c r="I46" s="8">
        <f t="shared" si="16"/>
        <v>74.0918326091549</v>
      </c>
      <c r="J46" s="24">
        <f t="shared" si="10"/>
        <v>551.0711869914036</v>
      </c>
      <c r="K46" s="63"/>
      <c r="L46" s="45"/>
      <c r="M46" s="45"/>
      <c r="N46" s="42"/>
      <c r="O46" s="42"/>
      <c r="P46" s="13"/>
      <c r="Q46" s="4"/>
    </row>
    <row r="47" spans="1:17" ht="12.75">
      <c r="A47" s="6" t="s">
        <v>26</v>
      </c>
      <c r="B47" s="8">
        <f t="shared" si="11"/>
        <v>12201.975073689233</v>
      </c>
      <c r="C47" s="8">
        <f t="shared" si="12"/>
        <v>254.23567242577158</v>
      </c>
      <c r="D47" s="24">
        <f t="shared" si="17"/>
        <v>551.0711869914036</v>
      </c>
      <c r="E47" s="8">
        <f t="shared" si="13"/>
        <v>8202.031006929657</v>
      </c>
      <c r="F47" s="8">
        <f t="shared" si="14"/>
        <v>170.89437207589054</v>
      </c>
      <c r="G47" s="24">
        <f t="shared" si="9"/>
        <v>551.0711869914036</v>
      </c>
      <c r="H47" s="8">
        <f t="shared" si="15"/>
        <v>3079.0389102254485</v>
      </c>
      <c r="I47" s="8">
        <f t="shared" si="16"/>
        <v>64.15367373223161</v>
      </c>
      <c r="J47" s="24">
        <f t="shared" si="10"/>
        <v>551.0711869914036</v>
      </c>
      <c r="K47" s="63"/>
      <c r="L47" s="45"/>
      <c r="M47" s="45"/>
      <c r="N47" s="42"/>
      <c r="O47" s="42"/>
      <c r="P47" s="13"/>
      <c r="Q47" s="4"/>
    </row>
    <row r="48" spans="1:17" ht="12.75">
      <c r="A48" s="6" t="s">
        <v>27</v>
      </c>
      <c r="B48" s="8">
        <f t="shared" si="11"/>
        <v>11905.139559123601</v>
      </c>
      <c r="C48" s="8">
        <f t="shared" si="12"/>
        <v>248.05092149899997</v>
      </c>
      <c r="D48" s="24">
        <f t="shared" si="17"/>
        <v>551.0711869914036</v>
      </c>
      <c r="E48" s="8">
        <f t="shared" si="13"/>
        <v>7821.854192014144</v>
      </c>
      <c r="F48" s="8">
        <f t="shared" si="14"/>
        <v>162.973153781555</v>
      </c>
      <c r="G48" s="24">
        <f t="shared" si="9"/>
        <v>551.0711869914036</v>
      </c>
      <c r="H48" s="8">
        <f t="shared" si="15"/>
        <v>2592.1213969662767</v>
      </c>
      <c r="I48" s="8">
        <f t="shared" si="16"/>
        <v>54.0084471888453</v>
      </c>
      <c r="J48" s="24">
        <f t="shared" si="10"/>
        <v>551.0711869914036</v>
      </c>
      <c r="K48" s="63"/>
      <c r="L48" s="45"/>
      <c r="M48" s="45"/>
      <c r="N48" s="42"/>
      <c r="O48" s="42"/>
      <c r="P48" s="13"/>
      <c r="Q48" s="4"/>
    </row>
    <row r="49" spans="1:17" ht="12.75">
      <c r="A49" s="6" t="s">
        <v>28</v>
      </c>
      <c r="B49" s="8">
        <f t="shared" si="11"/>
        <v>11602.119293631198</v>
      </c>
      <c r="C49" s="8">
        <f t="shared" si="12"/>
        <v>241.73730747415144</v>
      </c>
      <c r="D49" s="24">
        <f t="shared" si="17"/>
        <v>551.0711869914036</v>
      </c>
      <c r="E49" s="8">
        <f t="shared" si="13"/>
        <v>7433.756158804295</v>
      </c>
      <c r="F49" s="8">
        <f t="shared" si="14"/>
        <v>154.88689202111416</v>
      </c>
      <c r="G49" s="24">
        <f t="shared" si="9"/>
        <v>551.0711869914036</v>
      </c>
      <c r="H49" s="8">
        <f t="shared" si="15"/>
        <v>2095.0586571637186</v>
      </c>
      <c r="I49" s="8">
        <f t="shared" si="16"/>
        <v>43.65183859652077</v>
      </c>
      <c r="J49" s="24">
        <f t="shared" si="10"/>
        <v>551.0711869914036</v>
      </c>
      <c r="K49" s="63"/>
      <c r="L49" s="45"/>
      <c r="M49" s="45"/>
      <c r="N49" s="42"/>
      <c r="O49" s="42"/>
      <c r="P49" s="13"/>
      <c r="Q49" s="4"/>
    </row>
    <row r="50" spans="1:17" ht="12.75">
      <c r="A50" s="6" t="s">
        <v>29</v>
      </c>
      <c r="B50" s="8">
        <f t="shared" si="11"/>
        <v>11292.785414113947</v>
      </c>
      <c r="C50" s="8">
        <f t="shared" si="12"/>
        <v>235.29214540914128</v>
      </c>
      <c r="D50" s="24">
        <f t="shared" si="17"/>
        <v>551.0711869914036</v>
      </c>
      <c r="E50" s="8">
        <f t="shared" si="13"/>
        <v>7037.571863834006</v>
      </c>
      <c r="F50" s="8">
        <f t="shared" si="14"/>
        <v>146.63214801221264</v>
      </c>
      <c r="G50" s="24">
        <f t="shared" si="9"/>
        <v>551.0711869914036</v>
      </c>
      <c r="H50" s="8">
        <f t="shared" si="15"/>
        <v>1587.6393087688357</v>
      </c>
      <c r="I50" s="8">
        <f t="shared" si="16"/>
        <v>33.07944367996438</v>
      </c>
      <c r="J50" s="24">
        <f t="shared" si="10"/>
        <v>551.0711869914036</v>
      </c>
      <c r="K50" s="63"/>
      <c r="L50" s="45"/>
      <c r="M50" s="45"/>
      <c r="N50" s="42"/>
      <c r="O50" s="42"/>
      <c r="P50" s="13"/>
      <c r="Q50" s="4"/>
    </row>
    <row r="51" spans="1:17" ht="13.5" thickBot="1">
      <c r="A51" s="6" t="s">
        <v>30</v>
      </c>
      <c r="B51" s="9">
        <f t="shared" si="11"/>
        <v>10977.006372531685</v>
      </c>
      <c r="C51" s="9">
        <f t="shared" si="12"/>
        <v>228.71269441946157</v>
      </c>
      <c r="D51" s="24">
        <f t="shared" si="17"/>
        <v>551.0711869914036</v>
      </c>
      <c r="E51" s="9">
        <f t="shared" si="13"/>
        <v>6633.132824854815</v>
      </c>
      <c r="F51" s="9">
        <f t="shared" si="14"/>
        <v>138.20541132334486</v>
      </c>
      <c r="G51" s="24">
        <f t="shared" si="9"/>
        <v>551.0711869914036</v>
      </c>
      <c r="H51" s="9">
        <f t="shared" si="15"/>
        <v>1069.6475654573965</v>
      </c>
      <c r="I51" s="9">
        <f t="shared" si="16"/>
        <v>22.286766398091782</v>
      </c>
      <c r="J51" s="24">
        <f t="shared" si="10"/>
        <v>1091.9343318554882</v>
      </c>
      <c r="K51" s="63"/>
      <c r="L51" s="45"/>
      <c r="M51" s="45"/>
      <c r="N51" s="42"/>
      <c r="O51" s="42"/>
      <c r="P51" s="13"/>
      <c r="Q51" s="4"/>
    </row>
    <row r="52" spans="1:17" ht="14.25" thickBot="1" thickTop="1">
      <c r="A52" s="10" t="s">
        <v>14</v>
      </c>
      <c r="B52" s="11"/>
      <c r="C52" s="12">
        <f>SUM(C40:C51)</f>
        <v>3145.2125807007974</v>
      </c>
      <c r="D52" s="25">
        <f>SUM(D40:D51)</f>
        <v>6350.564700741057</v>
      </c>
      <c r="E52" s="11"/>
      <c r="F52" s="12">
        <f>SUM(F40:F51)</f>
        <v>2178.4734131238583</v>
      </c>
      <c r="G52" s="25">
        <f>SUM(G40:G51)</f>
        <v>6612.854243896844</v>
      </c>
      <c r="H52" s="11"/>
      <c r="I52" s="12">
        <f>SUM(I40:I51)</f>
        <v>933.4503395741705</v>
      </c>
      <c r="J52" s="25">
        <f>SUM(J40:J51)</f>
        <v>7153.717388760929</v>
      </c>
      <c r="K52" s="63"/>
      <c r="L52" s="45"/>
      <c r="M52" s="45"/>
      <c r="N52" s="42"/>
      <c r="O52" s="42"/>
      <c r="P52" s="13"/>
      <c r="Q52" s="4"/>
    </row>
    <row r="53" spans="1:17" ht="18.75" customHeight="1" thickBot="1">
      <c r="A53" s="17"/>
      <c r="B53" s="14"/>
      <c r="C53" s="14"/>
      <c r="D53" s="14"/>
      <c r="E53" s="14"/>
      <c r="F53" s="14"/>
      <c r="G53" s="14"/>
      <c r="H53" s="14"/>
      <c r="I53" s="13"/>
      <c r="J53" s="13"/>
      <c r="K53" s="63"/>
      <c r="L53" s="45"/>
      <c r="M53" s="45"/>
      <c r="N53" s="42"/>
      <c r="O53" s="42"/>
      <c r="P53" s="13"/>
      <c r="Q53" s="4"/>
    </row>
    <row r="54" spans="1:17" ht="15.75">
      <c r="A54" s="124" t="str">
        <f>CONCATENATE("Общая сумма процентов, ",L37)</f>
        <v>Общая сумма процентов, </v>
      </c>
      <c r="B54" s="125"/>
      <c r="C54" s="125"/>
      <c r="D54" s="125"/>
      <c r="E54" s="125"/>
      <c r="F54" s="125"/>
      <c r="G54" s="125"/>
      <c r="H54" s="125"/>
      <c r="I54" s="126"/>
      <c r="J54" s="64">
        <f>SUM(C52,F52,I52)</f>
        <v>6257.1363333988265</v>
      </c>
      <c r="K54" s="63"/>
      <c r="L54" s="45"/>
      <c r="M54" s="45"/>
      <c r="N54" s="42"/>
      <c r="O54" s="42"/>
      <c r="P54" s="13"/>
      <c r="Q54" s="4"/>
    </row>
    <row r="55" spans="1:17" ht="16.5" thickBot="1">
      <c r="A55" s="127" t="s">
        <v>32</v>
      </c>
      <c r="B55" s="128"/>
      <c r="C55" s="128"/>
      <c r="D55" s="128"/>
      <c r="E55" s="128"/>
      <c r="F55" s="128"/>
      <c r="G55" s="128"/>
      <c r="H55" s="128"/>
      <c r="I55" s="129"/>
      <c r="J55" s="65">
        <f>J54/stoimost</f>
        <v>0.28441528788176484</v>
      </c>
      <c r="K55" s="63"/>
      <c r="L55" s="45"/>
      <c r="M55" s="45"/>
      <c r="N55" s="42"/>
      <c r="O55" s="42"/>
      <c r="P55" s="13"/>
      <c r="Q55" s="4"/>
    </row>
    <row r="56" spans="1:16" ht="20.25" customHeight="1" thickBot="1">
      <c r="A56" s="151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72"/>
      <c r="L56" s="72"/>
      <c r="M56" s="72"/>
      <c r="N56" s="72"/>
      <c r="O56" s="72"/>
      <c r="P56" s="4"/>
    </row>
    <row r="57" spans="1:15" ht="15" customHeight="1">
      <c r="A57" s="145" t="str">
        <f>CONCATENATE("Одноразовая комиссия за открытие ссудного счёта, ",L16)</f>
        <v>Одноразовая комиссия за открытие ссудного счёта, </v>
      </c>
      <c r="B57" s="146"/>
      <c r="C57" s="146"/>
      <c r="D57" s="146"/>
      <c r="E57" s="146"/>
      <c r="F57" s="146"/>
      <c r="G57" s="146"/>
      <c r="H57" s="146"/>
      <c r="I57" s="147"/>
      <c r="J57" s="68">
        <f>H9*sumkred/100</f>
        <v>594</v>
      </c>
      <c r="K57" s="66"/>
      <c r="L57" s="139"/>
      <c r="M57" s="139"/>
      <c r="N57" s="139"/>
      <c r="O57" s="2"/>
    </row>
    <row r="58" spans="1:17" ht="15.75" thickBot="1">
      <c r="A58" s="148" t="str">
        <f>CONCATENATE("Ежемесячная комиссия за обслуживание кредита, ",L16)</f>
        <v>Ежемесячная комиссия за обслуживание кредита, </v>
      </c>
      <c r="B58" s="149"/>
      <c r="C58" s="149"/>
      <c r="D58" s="149"/>
      <c r="E58" s="149"/>
      <c r="F58" s="149"/>
      <c r="G58" s="149"/>
      <c r="H58" s="149"/>
      <c r="I58" s="150"/>
      <c r="J58" s="69">
        <f>IF(H10=1,sumkred*1.5/100,0)</f>
        <v>0</v>
      </c>
      <c r="K58" s="67"/>
      <c r="L58" s="139"/>
      <c r="M58" s="139"/>
      <c r="N58" s="139"/>
      <c r="O58" s="2"/>
      <c r="Q58" s="46"/>
    </row>
    <row r="59" spans="1:13" ht="44.25" customHeight="1" thickBot="1">
      <c r="A59" s="121" t="s">
        <v>36</v>
      </c>
      <c r="B59" s="122"/>
      <c r="C59" s="122"/>
      <c r="D59" s="122"/>
      <c r="E59" s="122"/>
      <c r="F59" s="122"/>
      <c r="G59" s="122"/>
      <c r="H59" s="122"/>
      <c r="I59" s="123"/>
      <c r="J59" s="71">
        <f>J57+avans</f>
        <v>2794</v>
      </c>
      <c r="K59" s="137"/>
      <c r="L59" s="137"/>
      <c r="M59" s="70"/>
    </row>
    <row r="60" spans="1:14" ht="12.75">
      <c r="A60" s="47"/>
      <c r="B60" s="47"/>
      <c r="C60" s="48"/>
      <c r="D60" s="48"/>
      <c r="E60" s="48"/>
      <c r="F60" s="48"/>
      <c r="G60" s="48"/>
      <c r="H60" s="49"/>
      <c r="I60" s="50"/>
      <c r="J60" s="50"/>
      <c r="N60" s="50"/>
    </row>
    <row r="61" spans="1:25" ht="12.75" customHeight="1">
      <c r="A61" s="101" t="s">
        <v>41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6"/>
      <c r="Y61" s="51"/>
    </row>
    <row r="62" ht="12.75" hidden="1"/>
    <row r="63" spans="1:23" s="54" customFormat="1" ht="18" customHeight="1">
      <c r="A63" s="84">
        <v>1</v>
      </c>
      <c r="B63" s="103" t="s">
        <v>42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80"/>
      <c r="N63" s="81"/>
      <c r="O63" s="52"/>
      <c r="P63" s="53"/>
      <c r="R63" s="55"/>
      <c r="S63" s="55"/>
      <c r="T63" s="55"/>
      <c r="U63" s="55"/>
      <c r="V63" s="56"/>
      <c r="W63" s="56"/>
    </row>
    <row r="64" spans="1:23" ht="18" customHeight="1">
      <c r="A64" s="85">
        <v>2</v>
      </c>
      <c r="B64" s="104" t="s">
        <v>43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78"/>
      <c r="N64" s="82"/>
      <c r="R64" s="2"/>
      <c r="S64" s="2"/>
      <c r="T64" s="2"/>
      <c r="U64" s="2"/>
      <c r="V64" s="4"/>
      <c r="W64" s="4"/>
    </row>
    <row r="65" spans="1:23" ht="18" customHeight="1">
      <c r="A65" s="85">
        <v>3</v>
      </c>
      <c r="B65" s="105" t="s">
        <v>44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86"/>
      <c r="O65" s="15"/>
      <c r="R65" s="2"/>
      <c r="S65" s="2"/>
      <c r="T65" s="2"/>
      <c r="U65" s="2"/>
      <c r="V65" s="4"/>
      <c r="W65" s="4"/>
    </row>
    <row r="66" spans="1:23" ht="18" customHeight="1">
      <c r="A66" s="83"/>
      <c r="B66" s="106" t="s">
        <v>45</v>
      </c>
      <c r="C66" s="106"/>
      <c r="D66" s="106"/>
      <c r="E66" s="106"/>
      <c r="F66" s="106"/>
      <c r="G66" s="106"/>
      <c r="H66" s="106" t="s">
        <v>46</v>
      </c>
      <c r="I66" s="106"/>
      <c r="J66" s="106"/>
      <c r="K66" s="106"/>
      <c r="L66" s="106"/>
      <c r="M66" s="106"/>
      <c r="N66" s="79"/>
      <c r="O66" s="15"/>
      <c r="R66" s="2"/>
      <c r="S66" s="2"/>
      <c r="T66" s="2"/>
      <c r="U66" s="2"/>
      <c r="V66" s="4"/>
      <c r="W66" s="4"/>
    </row>
    <row r="67" spans="1:23" ht="18" customHeight="1">
      <c r="A67" s="83"/>
      <c r="B67" s="91" t="s">
        <v>48</v>
      </c>
      <c r="C67" s="92"/>
      <c r="D67" s="92"/>
      <c r="E67" s="92"/>
      <c r="F67" s="92"/>
      <c r="G67" s="93"/>
      <c r="H67" s="107" t="s">
        <v>47</v>
      </c>
      <c r="I67" s="107"/>
      <c r="J67" s="107"/>
      <c r="K67" s="107"/>
      <c r="L67" s="107"/>
      <c r="M67" s="107"/>
      <c r="N67" s="77"/>
      <c r="O67" s="15"/>
      <c r="R67" s="2"/>
      <c r="S67" s="2"/>
      <c r="T67" s="2"/>
      <c r="U67" s="2"/>
      <c r="V67" s="4"/>
      <c r="W67" s="4"/>
    </row>
    <row r="68" spans="1:23" ht="18" customHeight="1">
      <c r="A68" s="83"/>
      <c r="B68" s="94"/>
      <c r="C68" s="95"/>
      <c r="D68" s="95"/>
      <c r="E68" s="95"/>
      <c r="F68" s="95"/>
      <c r="G68" s="96"/>
      <c r="H68" s="107"/>
      <c r="I68" s="107"/>
      <c r="J68" s="107"/>
      <c r="K68" s="107"/>
      <c r="L68" s="107"/>
      <c r="M68" s="107"/>
      <c r="N68" s="77"/>
      <c r="O68" s="15"/>
      <c r="R68" s="2"/>
      <c r="S68" s="2"/>
      <c r="T68" s="2"/>
      <c r="U68" s="2"/>
      <c r="V68" s="4"/>
      <c r="W68" s="4"/>
    </row>
    <row r="69" spans="1:23" ht="18" customHeight="1">
      <c r="A69" s="83"/>
      <c r="B69" s="94"/>
      <c r="C69" s="95"/>
      <c r="D69" s="95"/>
      <c r="E69" s="95"/>
      <c r="F69" s="95"/>
      <c r="G69" s="96"/>
      <c r="H69" s="107"/>
      <c r="I69" s="107"/>
      <c r="J69" s="107"/>
      <c r="K69" s="107"/>
      <c r="L69" s="107"/>
      <c r="M69" s="107"/>
      <c r="N69" s="77"/>
      <c r="O69" s="15"/>
      <c r="R69" s="2"/>
      <c r="S69" s="2"/>
      <c r="T69" s="2"/>
      <c r="U69" s="2"/>
      <c r="V69" s="4"/>
      <c r="W69" s="4"/>
    </row>
    <row r="70" spans="2:23" ht="12.75" customHeight="1">
      <c r="B70" s="94"/>
      <c r="C70" s="95"/>
      <c r="D70" s="95"/>
      <c r="E70" s="95"/>
      <c r="F70" s="95"/>
      <c r="G70" s="96"/>
      <c r="H70" s="107"/>
      <c r="I70" s="107"/>
      <c r="J70" s="107"/>
      <c r="K70" s="107"/>
      <c r="L70" s="107"/>
      <c r="M70" s="107"/>
      <c r="N70" s="77"/>
      <c r="O70" s="15"/>
      <c r="R70" s="2"/>
      <c r="S70" s="2"/>
      <c r="T70" s="2"/>
      <c r="U70" s="2"/>
      <c r="V70" s="4"/>
      <c r="W70" s="4"/>
    </row>
    <row r="71" spans="2:23" ht="12.75" customHeight="1">
      <c r="B71" s="94"/>
      <c r="C71" s="95"/>
      <c r="D71" s="95"/>
      <c r="E71" s="95"/>
      <c r="F71" s="95"/>
      <c r="G71" s="96"/>
      <c r="H71" s="107"/>
      <c r="I71" s="107"/>
      <c r="J71" s="107"/>
      <c r="K71" s="107"/>
      <c r="L71" s="107"/>
      <c r="M71" s="107"/>
      <c r="N71" s="77"/>
      <c r="O71" s="15"/>
      <c r="R71" s="2"/>
      <c r="S71" s="2"/>
      <c r="T71" s="2"/>
      <c r="U71" s="2"/>
      <c r="V71" s="4"/>
      <c r="W71" s="4"/>
    </row>
    <row r="72" spans="2:23" ht="12.75" customHeight="1">
      <c r="B72" s="97"/>
      <c r="C72" s="98"/>
      <c r="D72" s="98"/>
      <c r="E72" s="98"/>
      <c r="F72" s="98"/>
      <c r="G72" s="99"/>
      <c r="H72" s="107"/>
      <c r="I72" s="107"/>
      <c r="J72" s="107"/>
      <c r="K72" s="107"/>
      <c r="L72" s="107"/>
      <c r="M72" s="107"/>
      <c r="N72" s="77"/>
      <c r="O72" s="15"/>
      <c r="R72" s="2"/>
      <c r="S72" s="2"/>
      <c r="T72" s="2"/>
      <c r="U72" s="2"/>
      <c r="V72" s="4"/>
      <c r="W72" s="4"/>
    </row>
    <row r="73" spans="2:23" ht="12.75" customHeight="1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15"/>
      <c r="R73" s="2"/>
      <c r="S73" s="2"/>
      <c r="T73" s="2"/>
      <c r="U73" s="2"/>
      <c r="V73" s="4"/>
      <c r="W73" s="4"/>
    </row>
    <row r="74" spans="1:23" ht="12.75" customHeight="1">
      <c r="A74" s="85">
        <v>4</v>
      </c>
      <c r="B74" s="100" t="s">
        <v>49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5"/>
      <c r="R74" s="2"/>
      <c r="S74" s="2"/>
      <c r="T74" s="2"/>
      <c r="U74" s="2"/>
      <c r="V74" s="4"/>
      <c r="W74" s="4"/>
    </row>
    <row r="75" spans="1:23" ht="12.75" customHeight="1">
      <c r="A75" s="85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5"/>
      <c r="R75" s="2"/>
      <c r="S75" s="2"/>
      <c r="T75" s="2"/>
      <c r="U75" s="2"/>
      <c r="V75" s="4"/>
      <c r="W75" s="4"/>
    </row>
    <row r="76" spans="1:23" ht="12.75" customHeight="1">
      <c r="A76" s="85">
        <v>5</v>
      </c>
      <c r="B76" s="100" t="s">
        <v>50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5"/>
      <c r="R76" s="2"/>
      <c r="S76" s="2"/>
      <c r="T76" s="2"/>
      <c r="U76" s="2"/>
      <c r="V76" s="4"/>
      <c r="W76" s="4"/>
    </row>
    <row r="77" spans="2:23" ht="12.75" customHeight="1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5"/>
      <c r="R77" s="2"/>
      <c r="S77" s="2"/>
      <c r="T77" s="2"/>
      <c r="U77" s="2"/>
      <c r="V77" s="4"/>
      <c r="W77" s="4"/>
    </row>
    <row r="78" spans="11:23" ht="12.75" customHeight="1">
      <c r="K78" s="77"/>
      <c r="L78" s="77"/>
      <c r="M78" s="77"/>
      <c r="N78" s="77"/>
      <c r="O78" s="15"/>
      <c r="R78" s="2"/>
      <c r="S78" s="2"/>
      <c r="T78" s="2"/>
      <c r="U78" s="2"/>
      <c r="V78" s="4"/>
      <c r="W78" s="4"/>
    </row>
    <row r="79" spans="1:23" ht="12.75" customHeight="1">
      <c r="A79" s="101" t="s">
        <v>51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5"/>
      <c r="R79" s="2"/>
      <c r="S79" s="2"/>
      <c r="T79" s="2"/>
      <c r="U79" s="2"/>
      <c r="V79" s="4"/>
      <c r="W79" s="4"/>
    </row>
    <row r="80" spans="2:23" ht="12.75" customHeight="1" hidden="1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5"/>
      <c r="R80" s="2"/>
      <c r="S80" s="2"/>
      <c r="T80" s="2"/>
      <c r="U80" s="2"/>
      <c r="V80" s="4"/>
      <c r="W80" s="4"/>
    </row>
    <row r="81" spans="2:23" ht="12.75" customHeight="1" hidden="1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15"/>
      <c r="R81" s="2"/>
      <c r="S81" s="2"/>
      <c r="T81" s="2"/>
      <c r="U81" s="2"/>
      <c r="V81" s="4"/>
      <c r="W81" s="4"/>
    </row>
    <row r="82" spans="2:23" ht="12.75" customHeight="1" hidden="1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15"/>
      <c r="R82" s="2"/>
      <c r="S82" s="2"/>
      <c r="T82" s="2"/>
      <c r="U82" s="2"/>
      <c r="V82" s="4"/>
      <c r="W82" s="4"/>
    </row>
    <row r="83" spans="2:23" ht="12.75" customHeight="1" hidden="1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5"/>
      <c r="R83" s="2"/>
      <c r="S83" s="2"/>
      <c r="T83" s="2"/>
      <c r="U83" s="2"/>
      <c r="V83" s="4"/>
      <c r="W83" s="4"/>
    </row>
    <row r="84" spans="2:23" ht="12.75" customHeight="1" hidden="1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5"/>
      <c r="R84" s="2"/>
      <c r="S84" s="2"/>
      <c r="T84" s="2"/>
      <c r="U84" s="2"/>
      <c r="V84" s="4"/>
      <c r="W84" s="4"/>
    </row>
    <row r="85" spans="2:23" ht="12.75" customHeight="1" hidden="1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15"/>
      <c r="R85" s="2"/>
      <c r="S85" s="2"/>
      <c r="T85" s="2"/>
      <c r="U85" s="2"/>
      <c r="V85" s="4"/>
      <c r="W85" s="4"/>
    </row>
    <row r="86" spans="2:23" ht="12.75" customHeight="1" hidden="1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15"/>
      <c r="R86" s="2"/>
      <c r="S86" s="2"/>
      <c r="T86" s="2"/>
      <c r="U86" s="2"/>
      <c r="V86" s="4"/>
      <c r="W86" s="4"/>
    </row>
    <row r="87" spans="2:23" ht="12.75" customHeight="1" hidden="1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15"/>
      <c r="R87" s="2"/>
      <c r="S87" s="2"/>
      <c r="T87" s="2"/>
      <c r="U87" s="2"/>
      <c r="V87" s="4"/>
      <c r="W87" s="4"/>
    </row>
    <row r="88" spans="2:23" ht="12.75" customHeight="1" hidden="1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5"/>
      <c r="R88" s="2"/>
      <c r="S88" s="2"/>
      <c r="T88" s="2"/>
      <c r="U88" s="2"/>
      <c r="V88" s="4"/>
      <c r="W88" s="4"/>
    </row>
    <row r="89" spans="2:23" ht="12.75" customHeight="1" hidden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5"/>
      <c r="R89" s="2"/>
      <c r="S89" s="2"/>
      <c r="T89" s="2"/>
      <c r="U89" s="2"/>
      <c r="V89" s="4"/>
      <c r="W89" s="4"/>
    </row>
    <row r="90" spans="2:23" ht="12.75" customHeight="1" hidden="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5"/>
      <c r="R90" s="2"/>
      <c r="S90" s="2"/>
      <c r="T90" s="2"/>
      <c r="U90" s="2"/>
      <c r="V90" s="4"/>
      <c r="W90" s="4"/>
    </row>
    <row r="91" spans="2:23" ht="12.75" customHeight="1" hidden="1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15"/>
      <c r="R91" s="2"/>
      <c r="S91" s="2"/>
      <c r="T91" s="2"/>
      <c r="U91" s="2"/>
      <c r="V91" s="4"/>
      <c r="W91" s="4"/>
    </row>
    <row r="92" spans="2:23" ht="12.75" customHeight="1" hidden="1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15"/>
      <c r="R92" s="2"/>
      <c r="S92" s="2"/>
      <c r="T92" s="2"/>
      <c r="U92" s="2"/>
      <c r="V92" s="4"/>
      <c r="W92" s="4"/>
    </row>
    <row r="93" spans="2:15" ht="12.75" customHeight="1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15"/>
    </row>
    <row r="94" spans="2:15" ht="13.5" customHeight="1">
      <c r="B94" s="87" t="s">
        <v>52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15"/>
    </row>
    <row r="95" spans="2:15" ht="13.5" customHeight="1">
      <c r="B95" s="102" t="s">
        <v>53</v>
      </c>
      <c r="C95" s="102"/>
      <c r="D95" s="102"/>
      <c r="E95" s="102"/>
      <c r="F95" s="102"/>
      <c r="G95" s="102"/>
      <c r="H95" s="77"/>
      <c r="I95" s="77"/>
      <c r="J95" s="77"/>
      <c r="K95" s="77"/>
      <c r="L95" s="77"/>
      <c r="M95" s="77"/>
      <c r="N95" s="77"/>
      <c r="O95" s="15"/>
    </row>
    <row r="96" ht="13.5" customHeight="1">
      <c r="B96" s="15" t="s">
        <v>54</v>
      </c>
    </row>
    <row r="97" ht="13.5" customHeight="1">
      <c r="B97" s="15" t="s">
        <v>55</v>
      </c>
    </row>
    <row r="98" ht="13.5" customHeight="1"/>
    <row r="99" ht="13.5" customHeight="1"/>
    <row r="100" ht="13.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/>
    <row r="108" ht="12.75"/>
    <row r="109" ht="12.75"/>
    <row r="110" ht="12.75" hidden="1"/>
    <row r="111" ht="12.75" hidden="1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/>
  <mergeCells count="66">
    <mergeCell ref="A33:I33"/>
    <mergeCell ref="A57:I57"/>
    <mergeCell ref="A58:I58"/>
    <mergeCell ref="A56:J56"/>
    <mergeCell ref="A15:J15"/>
    <mergeCell ref="A13:G13"/>
    <mergeCell ref="H13:I13"/>
    <mergeCell ref="B38:D38"/>
    <mergeCell ref="E38:G38"/>
    <mergeCell ref="A17:A18"/>
    <mergeCell ref="K59:L59"/>
    <mergeCell ref="A10:F10"/>
    <mergeCell ref="H10:I10"/>
    <mergeCell ref="L57:N57"/>
    <mergeCell ref="L58:N58"/>
    <mergeCell ref="B17:D17"/>
    <mergeCell ref="E17:G17"/>
    <mergeCell ref="A36:J36"/>
    <mergeCell ref="A38:A39"/>
    <mergeCell ref="H11:I11"/>
    <mergeCell ref="A9:F9"/>
    <mergeCell ref="H9:I9"/>
    <mergeCell ref="H8:I8"/>
    <mergeCell ref="A8:F8"/>
    <mergeCell ref="K8:N8"/>
    <mergeCell ref="H4:I4"/>
    <mergeCell ref="A59:I59"/>
    <mergeCell ref="A54:I54"/>
    <mergeCell ref="A55:I55"/>
    <mergeCell ref="K3:O3"/>
    <mergeCell ref="K17:M17"/>
    <mergeCell ref="N17:O17"/>
    <mergeCell ref="A34:I34"/>
    <mergeCell ref="A4:E4"/>
    <mergeCell ref="H3:I3"/>
    <mergeCell ref="L7:N7"/>
    <mergeCell ref="A1:I1"/>
    <mergeCell ref="H5:I5"/>
    <mergeCell ref="K4:O4"/>
    <mergeCell ref="K5:O5"/>
    <mergeCell ref="L16:O16"/>
    <mergeCell ref="H2:I2"/>
    <mergeCell ref="A3:E3"/>
    <mergeCell ref="A2:F2"/>
    <mergeCell ref="A5:F5"/>
    <mergeCell ref="A11:G11"/>
    <mergeCell ref="B66:G66"/>
    <mergeCell ref="H67:M72"/>
    <mergeCell ref="A6:F6"/>
    <mergeCell ref="A7:F7"/>
    <mergeCell ref="H6:I6"/>
    <mergeCell ref="H7:I7"/>
    <mergeCell ref="H17:J17"/>
    <mergeCell ref="H38:J38"/>
    <mergeCell ref="A12:G12"/>
    <mergeCell ref="H12:I12"/>
    <mergeCell ref="B67:G72"/>
    <mergeCell ref="B76:N77"/>
    <mergeCell ref="B74:N75"/>
    <mergeCell ref="A79:N79"/>
    <mergeCell ref="A61:N61"/>
    <mergeCell ref="B95:G95"/>
    <mergeCell ref="B63:L63"/>
    <mergeCell ref="B64:L64"/>
    <mergeCell ref="B65:M65"/>
    <mergeCell ref="H66:M66"/>
  </mergeCells>
  <printOptions/>
  <pageMargins left="0.4330708661417323" right="0.6299212598425197" top="0.5905511811023623" bottom="0.3937007874015748" header="0.5118110236220472" footer="0.1968503937007874"/>
  <pageSetup fitToHeight="2" horizontalDpi="1200" verticalDpi="1200" orientation="portrait" paperSize="9" scale="57" r:id="rId3"/>
  <rowBreaks count="1" manualBreakCount="1">
    <brk id="100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DZamotaev</dc:creator>
  <cp:keywords/>
  <dc:description/>
  <cp:lastModifiedBy>Пріхно Олександр Олександрович</cp:lastModifiedBy>
  <cp:lastPrinted>2014-08-05T12:11:41Z</cp:lastPrinted>
  <dcterms:created xsi:type="dcterms:W3CDTF">2007-05-30T09:57:41Z</dcterms:created>
  <dcterms:modified xsi:type="dcterms:W3CDTF">2015-05-26T12:18:05Z</dcterms:modified>
  <cp:category/>
  <cp:version/>
  <cp:contentType/>
  <cp:contentStatus/>
</cp:coreProperties>
</file>